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Datos\Mis_Documentos\2015\Fly\Varios\Web_Docente\excel\"/>
    </mc:Choice>
  </mc:AlternateContent>
  <bookViews>
    <workbookView xWindow="0" yWindow="0" windowWidth="28800" windowHeight="12435"/>
  </bookViews>
  <sheets>
    <sheet name="ANALISIS_GRANULOMETRICO" sheetId="4" r:id="rId1"/>
    <sheet name="DISTRIBUCION_GRANULOMETRICA" sheetId="5" r:id="rId2"/>
    <sheet name="LIMITES_ATTERBERG" sheetId="2" r:id="rId3"/>
  </sheets>
  <definedNames>
    <definedName name="_xlnm.Print_Area" localSheetId="0">ANALISIS_GRANULOMETRICO!$A$1:$E$33</definedName>
    <definedName name="_xlnm.Print_Area" localSheetId="1">DISTRIBUCION_GRANULOMETRICA!$A$1:$G$44</definedName>
    <definedName name="_xlnm.Print_Area" localSheetId="2">LIMITES_ATTERBERG!$A$1:$E$35</definedName>
    <definedName name="FINOS">LIMITES_ATTERBERG!$IK$1:$IL$7</definedName>
    <definedName name="GRUESOS">DISTRIBUCION_GRANULOMETRICA!$IO$2:$IP$12</definedName>
    <definedName name="mallas">ANALISIS_GRANULOMETRICO!$IT$1:$IV$11</definedName>
  </definedNames>
  <calcPr calcId="152511"/>
</workbook>
</file>

<file path=xl/calcChain.xml><?xml version="1.0" encoding="utf-8"?>
<calcChain xmlns="http://schemas.openxmlformats.org/spreadsheetml/2006/main">
  <c r="D8" i="4" l="1"/>
  <c r="B28" i="4" s="1"/>
  <c r="E28" i="4" s="1"/>
  <c r="C24" i="4"/>
  <c r="B10" i="2"/>
  <c r="B11" i="2" s="1"/>
  <c r="B9" i="2"/>
  <c r="C10" i="2"/>
  <c r="C9" i="2"/>
  <c r="D10" i="2"/>
  <c r="D11" i="2" s="1"/>
  <c r="D9" i="2"/>
  <c r="E25" i="2"/>
  <c r="E28" i="2"/>
  <c r="E29" i="2" s="1"/>
  <c r="B21" i="2"/>
  <c r="B20" i="2"/>
  <c r="C21" i="2"/>
  <c r="C22" i="2" s="1"/>
  <c r="C20" i="2"/>
  <c r="IP20" i="4"/>
  <c r="D20" i="2"/>
  <c r="E20" i="2"/>
  <c r="D21" i="2"/>
  <c r="E21" i="2"/>
  <c r="E22" i="2" s="1"/>
  <c r="D22" i="2"/>
  <c r="A13" i="4"/>
  <c r="B13" i="4"/>
  <c r="IP23" i="4"/>
  <c r="ID17" i="4" s="1"/>
  <c r="A14" i="4"/>
  <c r="B14" i="4"/>
  <c r="IP22" i="4" s="1"/>
  <c r="A15" i="4"/>
  <c r="B15" i="4"/>
  <c r="IP21" i="4" s="1"/>
  <c r="A16" i="4"/>
  <c r="B16" i="4"/>
  <c r="A17" i="4"/>
  <c r="B17" i="4"/>
  <c r="IP19" i="4" s="1"/>
  <c r="A18" i="4"/>
  <c r="B18" i="4"/>
  <c r="IP18" i="4" s="1"/>
  <c r="A19" i="4"/>
  <c r="B19" i="4"/>
  <c r="IP17" i="4"/>
  <c r="ID11" i="4" s="1"/>
  <c r="A20" i="4"/>
  <c r="B20" i="4"/>
  <c r="IP16" i="4" s="1"/>
  <c r="A21" i="4"/>
  <c r="B21" i="4"/>
  <c r="IP15" i="4"/>
  <c r="IC10" i="4" s="1"/>
  <c r="A22" i="4"/>
  <c r="B22" i="4"/>
  <c r="IP14" i="4"/>
  <c r="IT15" i="4" s="1"/>
  <c r="A23" i="4"/>
  <c r="B23" i="4"/>
  <c r="IP13" i="4"/>
  <c r="IC8" i="4" s="1"/>
  <c r="B26" i="4"/>
  <c r="E26" i="4" s="1"/>
  <c r="B27" i="4"/>
  <c r="E27" i="4" s="1"/>
  <c r="B29" i="4"/>
  <c r="E29" i="4"/>
  <c r="D15" i="4"/>
  <c r="D19" i="4"/>
  <c r="D23" i="4"/>
  <c r="D14" i="4"/>
  <c r="D16" i="4"/>
  <c r="D18" i="4"/>
  <c r="D20" i="4"/>
  <c r="IC12" i="4"/>
  <c r="ID9" i="4"/>
  <c r="IC15" i="4"/>
  <c r="ID14" i="4"/>
  <c r="B22" i="2"/>
  <c r="C11" i="2"/>
  <c r="B28" i="2" l="1"/>
  <c r="IC11" i="4"/>
  <c r="ID10" i="4"/>
  <c r="B26" i="2"/>
  <c r="IT18" i="4"/>
  <c r="ID12" i="4"/>
  <c r="IT19" i="4"/>
  <c r="IC13" i="4"/>
  <c r="ID16" i="4"/>
  <c r="IC17" i="4"/>
  <c r="IC14" i="4"/>
  <c r="ID13" i="4"/>
  <c r="ID15" i="4"/>
  <c r="IC16" i="4"/>
  <c r="E27" i="2"/>
  <c r="E26" i="2"/>
  <c r="D13" i="4"/>
  <c r="ID8" i="4"/>
  <c r="IT14" i="4"/>
  <c r="IC9" i="4"/>
  <c r="D21" i="4"/>
  <c r="D22" i="4"/>
  <c r="D17" i="4"/>
  <c r="E13" i="4" l="1"/>
  <c r="D24" i="4"/>
  <c r="E32" i="2"/>
  <c r="E33" i="2" s="1"/>
  <c r="B27" i="2" s="1"/>
  <c r="B29" i="2" l="1"/>
  <c r="B33" i="2" s="1"/>
  <c r="B34" i="2" s="1"/>
  <c r="E14" i="4"/>
  <c r="IQ23" i="4"/>
  <c r="IF17" i="4" s="1"/>
  <c r="IQ22" i="4" l="1"/>
  <c r="E15" i="4"/>
  <c r="IQ21" i="4" l="1"/>
  <c r="E16" i="4"/>
  <c r="IF16" i="4"/>
  <c r="IE17" i="4"/>
  <c r="IH17" i="4" l="1"/>
  <c r="IM17" i="4" s="1"/>
  <c r="IG17" i="4"/>
  <c r="II17" i="4"/>
  <c r="IN17" i="4" s="1"/>
  <c r="IE16" i="4"/>
  <c r="IF15" i="4"/>
  <c r="E17" i="4"/>
  <c r="IQ20" i="4"/>
  <c r="IF14" i="4" l="1"/>
  <c r="IE15" i="4"/>
  <c r="IH16" i="4"/>
  <c r="IM16" i="4" s="1"/>
  <c r="IG16" i="4"/>
  <c r="II16" i="4"/>
  <c r="IN16" i="4" s="1"/>
  <c r="IJ17" i="4"/>
  <c r="IL17" i="4"/>
  <c r="IK17" i="4"/>
  <c r="E18" i="4"/>
  <c r="IQ19" i="4"/>
  <c r="E19" i="4" l="1"/>
  <c r="IQ18" i="4"/>
  <c r="IL16" i="4"/>
  <c r="IJ16" i="4"/>
  <c r="IK16" i="4"/>
  <c r="IE14" i="4"/>
  <c r="IF13" i="4"/>
  <c r="IG15" i="4"/>
  <c r="II15" i="4"/>
  <c r="IN15" i="4" s="1"/>
  <c r="IH15" i="4"/>
  <c r="IM15" i="4" s="1"/>
  <c r="IJ15" i="4" l="1"/>
  <c r="IL15" i="4"/>
  <c r="IK15" i="4"/>
  <c r="IH14" i="4"/>
  <c r="IM14" i="4" s="1"/>
  <c r="IG14" i="4"/>
  <c r="II14" i="4"/>
  <c r="IN14" i="4" s="1"/>
  <c r="IF12" i="4"/>
  <c r="IE13" i="4"/>
  <c r="E20" i="4"/>
  <c r="IQ17" i="4"/>
  <c r="IG13" i="4" l="1"/>
  <c r="II13" i="4"/>
  <c r="IH13" i="4"/>
  <c r="IQ16" i="4"/>
  <c r="E21" i="4"/>
  <c r="IK14" i="4"/>
  <c r="IJ14" i="4"/>
  <c r="IL14" i="4"/>
  <c r="IE12" i="4"/>
  <c r="IF11" i="4"/>
  <c r="IH12" i="4" l="1"/>
  <c r="IM12" i="4" s="1"/>
  <c r="IG12" i="4"/>
  <c r="II12" i="4"/>
  <c r="IN12" i="4" s="1"/>
  <c r="E22" i="4"/>
  <c r="IQ15" i="4"/>
  <c r="IL13" i="4"/>
  <c r="IJ13" i="4"/>
  <c r="IK13" i="4"/>
  <c r="IM13" i="4" s="1"/>
  <c r="IE11" i="4"/>
  <c r="IF10" i="4"/>
  <c r="IG11" i="4" l="1"/>
  <c r="II11" i="4"/>
  <c r="IN11" i="4" s="1"/>
  <c r="IH11" i="4"/>
  <c r="IM11" i="4" s="1"/>
  <c r="IE10" i="4"/>
  <c r="IF9" i="4"/>
  <c r="IN13" i="4"/>
  <c r="E23" i="4"/>
  <c r="IQ14" i="4"/>
  <c r="IL12" i="4"/>
  <c r="IK12" i="4"/>
  <c r="IJ12" i="4"/>
  <c r="IF8" i="4" l="1"/>
  <c r="IE9" i="4"/>
  <c r="IQ37" i="4"/>
  <c r="IP27" i="4" a="1"/>
  <c r="IQ38" i="4"/>
  <c r="IQ13" i="4"/>
  <c r="IE8" i="4" s="1"/>
  <c r="B30" i="4"/>
  <c r="E30" i="4" s="1"/>
  <c r="IK11" i="4"/>
  <c r="IJ11" i="4"/>
  <c r="IL11" i="4"/>
  <c r="IH10" i="4"/>
  <c r="IM10" i="4" s="1"/>
  <c r="IG10" i="4"/>
  <c r="II10" i="4"/>
  <c r="IN10" i="4" s="1"/>
  <c r="C32" i="5" l="1"/>
  <c r="B31" i="4"/>
  <c r="IJ10" i="4"/>
  <c r="IL10" i="4"/>
  <c r="IK10" i="4"/>
  <c r="II8" i="4"/>
  <c r="IN8" i="4" s="1"/>
  <c r="B30" i="5" s="1"/>
  <c r="IG8" i="4"/>
  <c r="IH8" i="4"/>
  <c r="IM8" i="4" s="1"/>
  <c r="B29" i="5" s="1"/>
  <c r="IQ42" i="4"/>
  <c r="IQ40" i="4"/>
  <c r="IQ41" i="4"/>
  <c r="IQ27" i="4"/>
  <c r="IP27" i="4"/>
  <c r="IG9" i="4"/>
  <c r="II9" i="4"/>
  <c r="IN9" i="4" s="1"/>
  <c r="IH9" i="4"/>
  <c r="IM9" i="4" s="1"/>
  <c r="IJ8" i="4" l="1"/>
  <c r="IL8" i="4"/>
  <c r="IK8" i="4"/>
  <c r="E32" i="5"/>
  <c r="C34" i="5"/>
  <c r="D34" i="5" s="1"/>
  <c r="C33" i="5"/>
  <c r="E34" i="5"/>
  <c r="E36" i="5"/>
  <c r="C36" i="5" s="1"/>
  <c r="E40" i="5" s="1"/>
  <c r="IK9" i="4"/>
  <c r="IJ9" i="4"/>
  <c r="IL9" i="4"/>
  <c r="IQ33" i="4"/>
  <c r="IQ28" i="4"/>
  <c r="IQ32" i="4"/>
  <c r="IQ31" i="4"/>
  <c r="C40" i="5" l="1"/>
  <c r="B28" i="5"/>
  <c r="G29" i="5" l="1"/>
  <c r="G28" i="5"/>
  <c r="C38" i="5" s="1"/>
  <c r="C41" i="5" s="1"/>
  <c r="C42" i="5" s="1"/>
  <c r="C43" i="5" s="1"/>
</calcChain>
</file>

<file path=xl/comments1.xml><?xml version="1.0" encoding="utf-8"?>
<comments xmlns="http://schemas.openxmlformats.org/spreadsheetml/2006/main">
  <authors>
    <author>FLY</author>
  </authors>
  <commentList>
    <comment ref="C12" authorId="0" shapeId="0">
      <text>
        <r>
          <rPr>
            <b/>
            <sz val="8"/>
            <color indexed="81"/>
            <rFont val="Tahoma"/>
            <family val="2"/>
          </rPr>
          <t>MECANICA DE SUELOS:
Debe indicar el valor retenido en el Tamiz Indicado, si no tiene el valor de un Tamiz, puede dejar la Celda Vacía o Colocar un Cero (0)</t>
        </r>
      </text>
    </comment>
    <comment ref="A26" authorId="0" shapeId="0">
      <text>
        <r>
          <rPr>
            <b/>
            <sz val="8"/>
            <color indexed="81"/>
            <rFont val="Tahoma"/>
            <family val="2"/>
          </rPr>
          <t>MECANICA DE SUELOS:
Estas cinco Filas le indican los errores más comunes generados en el Tratamiento de Datos, dichos errores se indican en color Rojo, si no hay ninguna fila en este color, esto quiere decir que los Valores del Ensayo son Correctos, en caso contrario corrija las Fallas Indicadas.</t>
        </r>
      </text>
    </comment>
  </commentList>
</comments>
</file>

<file path=xl/comments2.xml><?xml version="1.0" encoding="utf-8"?>
<comments xmlns="http://schemas.openxmlformats.org/spreadsheetml/2006/main">
  <authors>
    <author>FLY</author>
  </authors>
  <commentList>
    <comment ref="F28" authorId="0" shapeId="0">
      <text>
        <r>
          <rPr>
            <b/>
            <sz val="8"/>
            <color indexed="81"/>
            <rFont val="Tahoma"/>
            <family val="2"/>
          </rPr>
          <t>MECANICA DE SUELOS:
COEFICIENTE DE UNIFORMIDAD:
En realidad, la relación D60/D10 es un coeficiente de no uniformidad pues su valor numérico decrece cuando la uniformidad aumenta, suelos con Cu &lt; 3 se consideran muy uniformes; aún las arenas naturales muy uniformes rara vez presentan Cu &lt; 2.</t>
        </r>
      </text>
    </comment>
    <comment ref="F29" authorId="0" shapeId="0">
      <text>
        <r>
          <rPr>
            <b/>
            <sz val="8"/>
            <color indexed="81"/>
            <rFont val="Tahoma"/>
            <family val="2"/>
          </rPr>
          <t>MECANICA DE SUELOS:
COEFICIENTE DE CURVATURA
Esta relación tiene un valor entre 1 y 3 en suelos bien graduados, con amplio margen de tamaños de partículas y cantidades apreciables de cada tamaño intermedio.</t>
        </r>
      </text>
    </comment>
    <comment ref="A38" authorId="0" shapeId="0">
      <text>
        <r>
          <rPr>
            <b/>
            <sz val="8"/>
            <color indexed="81"/>
            <rFont val="Tahoma"/>
            <family val="2"/>
          </rPr>
          <t>MECANICA DE SUELOS:
La graduación se juzga por medio de los coeficientes de uniformidad y curvatura. Para considerar una grava bien graduada se exige que su coeficiente de uniformidad sea mayor que 4; mientras que el de curvatura debe estar comprendido entre 1 y 3. En el caso de las arenas bien graduadas, el coeficiente de uniformidad será mayor que 6, en tanto el de curvatura debe estar entre los mismos límites anteriores.</t>
        </r>
      </text>
    </comment>
    <comment ref="A40" authorId="0" shapeId="0">
      <text>
        <r>
          <rPr>
            <b/>
            <sz val="8"/>
            <color indexed="81"/>
            <rFont val="Tahoma"/>
            <family val="2"/>
          </rPr>
          <t>MECANICA DE SUELOS:
Esto solo aplica para aquellos suelos donde Más del 12% pasa la Malla # 200, en este caso se recomienda ir a la Hoja de Límites de Atterberg y realizar los Cálculos Respectivos.</t>
        </r>
        <r>
          <rPr>
            <sz val="8"/>
            <color indexed="81"/>
            <rFont val="Tahoma"/>
            <family val="2"/>
          </rPr>
          <t xml:space="preserve">
</t>
        </r>
      </text>
    </comment>
  </commentList>
</comments>
</file>

<file path=xl/comments3.xml><?xml version="1.0" encoding="utf-8"?>
<comments xmlns="http://schemas.openxmlformats.org/spreadsheetml/2006/main">
  <authors>
    <author>FLY</author>
  </authors>
  <commentList>
    <comment ref="B5" authorId="0" shapeId="0">
      <text>
        <r>
          <rPr>
            <b/>
            <sz val="8"/>
            <color indexed="81"/>
            <rFont val="Tahoma"/>
            <family val="2"/>
          </rPr>
          <t>MECANICA DE SUELOS:
No es obligatorio digitar este valor.</t>
        </r>
      </text>
    </comment>
    <comment ref="C5" authorId="0" shapeId="0">
      <text>
        <r>
          <rPr>
            <b/>
            <sz val="8"/>
            <color indexed="81"/>
            <rFont val="Tahoma"/>
            <family val="2"/>
          </rPr>
          <t>MECANICA DE SUELOS:
No es obligatorio digitar este valor.</t>
        </r>
      </text>
    </comment>
    <comment ref="D5" authorId="0" shapeId="0">
      <text>
        <r>
          <rPr>
            <b/>
            <sz val="8"/>
            <color indexed="81"/>
            <rFont val="Tahoma"/>
            <family val="2"/>
          </rPr>
          <t>MECANICA DE SUELOS:
No es obligatorio digitar este valor.</t>
        </r>
      </text>
    </comment>
    <comment ref="A6" authorId="0" shapeId="0">
      <text>
        <r>
          <rPr>
            <b/>
            <sz val="8"/>
            <color indexed="81"/>
            <rFont val="Tahoma"/>
            <family val="2"/>
          </rPr>
          <t>MECANICA DE SUELOS:
Estos valores deben ir en Gramos</t>
        </r>
      </text>
    </comment>
    <comment ref="A7" authorId="0" shapeId="0">
      <text>
        <r>
          <rPr>
            <b/>
            <sz val="8"/>
            <color indexed="81"/>
            <rFont val="Tahoma"/>
            <family val="2"/>
          </rPr>
          <t>MECANICA DE SUELOS:
Estos valores deben ir en Gramos</t>
        </r>
      </text>
    </comment>
    <comment ref="A8" authorId="0" shapeId="0">
      <text>
        <r>
          <rPr>
            <b/>
            <sz val="8"/>
            <color indexed="81"/>
            <rFont val="Tahoma"/>
            <family val="2"/>
          </rPr>
          <t>MECANICA DE SUELOS:
Estos valores deben ir en Gramos</t>
        </r>
      </text>
    </comment>
    <comment ref="A15" authorId="0" shapeId="0">
      <text>
        <r>
          <rPr>
            <b/>
            <sz val="8"/>
            <color indexed="81"/>
            <rFont val="Tahoma"/>
            <family val="2"/>
          </rPr>
          <t>MECANICA DE SUELOS:
No es necesario registrar valor de los Dos Ensayos, pero debe colocarse al menos los Datos en una Columna</t>
        </r>
      </text>
    </comment>
    <comment ref="D15" authorId="0" shapeId="0">
      <text>
        <r>
          <rPr>
            <b/>
            <sz val="8"/>
            <color indexed="81"/>
            <rFont val="Tahoma"/>
            <family val="2"/>
          </rPr>
          <t>MECANICA DE SUELOS:
No es necesario registrar valor de los Dos Ensayos, pero debe colocarse al menos los Datos en una Columna</t>
        </r>
      </text>
    </comment>
    <comment ref="B16" authorId="0" shapeId="0">
      <text>
        <r>
          <rPr>
            <b/>
            <sz val="8"/>
            <color indexed="81"/>
            <rFont val="Tahoma"/>
            <family val="2"/>
          </rPr>
          <t>MECANICA DE SUELOS:
No es obligatorio digitar este valor.</t>
        </r>
      </text>
    </comment>
    <comment ref="C16" authorId="0" shapeId="0">
      <text>
        <r>
          <rPr>
            <b/>
            <sz val="8"/>
            <color indexed="81"/>
            <rFont val="Tahoma"/>
            <family val="2"/>
          </rPr>
          <t>MECANICA DE SUELOS:
No es obligatorio digitar este valor.</t>
        </r>
      </text>
    </comment>
    <comment ref="D16" authorId="0" shapeId="0">
      <text>
        <r>
          <rPr>
            <b/>
            <sz val="8"/>
            <color indexed="81"/>
            <rFont val="Tahoma"/>
            <family val="2"/>
          </rPr>
          <t>MECANICA DE SUELOS:
No es obligatorio digitar este valor.</t>
        </r>
      </text>
    </comment>
    <comment ref="E16" authorId="0" shapeId="0">
      <text>
        <r>
          <rPr>
            <b/>
            <sz val="8"/>
            <color indexed="81"/>
            <rFont val="Tahoma"/>
            <family val="2"/>
          </rPr>
          <t>MECANICA DE SUELOS:
No es obligatorio digitar este valor.</t>
        </r>
      </text>
    </comment>
    <comment ref="A17" authorId="0" shapeId="0">
      <text>
        <r>
          <rPr>
            <b/>
            <sz val="8"/>
            <color indexed="81"/>
            <rFont val="Tahoma"/>
            <family val="2"/>
          </rPr>
          <t>MECANICA DE SUELOS:
Estos valores deben ir en Gramos</t>
        </r>
      </text>
    </comment>
    <comment ref="A18" authorId="0" shapeId="0">
      <text>
        <r>
          <rPr>
            <b/>
            <sz val="8"/>
            <color indexed="81"/>
            <rFont val="Tahoma"/>
            <family val="2"/>
          </rPr>
          <t>MECANICA DE SUELOS:
Estos valores deben ir en Gramos</t>
        </r>
      </text>
    </comment>
    <comment ref="A19" authorId="0" shapeId="0">
      <text>
        <r>
          <rPr>
            <b/>
            <sz val="8"/>
            <color indexed="81"/>
            <rFont val="Tahoma"/>
            <family val="2"/>
          </rPr>
          <t>MECANICA DE SUELOS:
Estos valores deben ir en Gramos</t>
        </r>
      </text>
    </comment>
    <comment ref="B24" authorId="0" shapeId="0">
      <text>
        <r>
          <rPr>
            <b/>
            <sz val="8"/>
            <color indexed="81"/>
            <rFont val="Tahoma"/>
            <family val="2"/>
          </rPr>
          <t>MECANICA DE SUELOS:
Indique si la muestra tiene o No Contenido de Materia Orgánica</t>
        </r>
      </text>
    </comment>
  </commentList>
</comments>
</file>

<file path=xl/sharedStrings.xml><?xml version="1.0" encoding="utf-8"?>
<sst xmlns="http://schemas.openxmlformats.org/spreadsheetml/2006/main" count="167" uniqueCount="132">
  <si>
    <t>DETERMINACION DE LIMITES DE ATTERBERG</t>
  </si>
  <si>
    <t>LATA Nº</t>
  </si>
  <si>
    <t>Peso suelo húmedo + lata</t>
  </si>
  <si>
    <t>Peso suelo seco + lata</t>
  </si>
  <si>
    <t>Peso de lata</t>
  </si>
  <si>
    <t>Peso de suelo seco</t>
  </si>
  <si>
    <t>Peso de agua</t>
  </si>
  <si>
    <t>Contenido de Humedad %</t>
  </si>
  <si>
    <t>Número de Golpes N</t>
  </si>
  <si>
    <t>SUMX</t>
  </si>
  <si>
    <t>SUMY</t>
  </si>
  <si>
    <t>Límite Líquido:</t>
  </si>
  <si>
    <t>SUMXY</t>
  </si>
  <si>
    <t>Límite Plástico:</t>
  </si>
  <si>
    <t>SUMXC</t>
  </si>
  <si>
    <t>Indice de Plasticidad:</t>
  </si>
  <si>
    <t>SUMXD</t>
  </si>
  <si>
    <t>B</t>
  </si>
  <si>
    <t>Clasificación U.S.C. :</t>
  </si>
  <si>
    <t>A</t>
  </si>
  <si>
    <t>ML</t>
  </si>
  <si>
    <t>Limos inorgánicos, arenosos o arcillosos ligeramente plásticos</t>
  </si>
  <si>
    <t>CL</t>
  </si>
  <si>
    <t>Arcillas inorgánicas de baja a media plasticidad</t>
  </si>
  <si>
    <t>OL</t>
  </si>
  <si>
    <t>Limos orgánicos de baja plasticidad</t>
  </si>
  <si>
    <t>MH</t>
  </si>
  <si>
    <t>Limos orgánicos, micáceos o diatomáceos, limos elásticos</t>
  </si>
  <si>
    <t>CH</t>
  </si>
  <si>
    <t>Arcillas inorgánicas de alta plasticidad, arcillas francas</t>
  </si>
  <si>
    <t>OH</t>
  </si>
  <si>
    <t>Arcillas orgánicas de media a alta plasticidad</t>
  </si>
  <si>
    <t>Pt</t>
  </si>
  <si>
    <t>Turba y otros suelos altamente orgánicos</t>
  </si>
  <si>
    <t>ANALISIS GRANULOMETRICO - MECANICO</t>
  </si>
  <si>
    <t xml:space="preserve"> </t>
  </si>
  <si>
    <t>Peso de la muestra seca + recipiente (grs) :</t>
  </si>
  <si>
    <t>Peso del recipiente (grs) :</t>
  </si>
  <si>
    <t>Peso de la muestra seca, Ws (grs) :</t>
  </si>
  <si>
    <t>Análisis por Tamizado y forma de Granos</t>
  </si>
  <si>
    <t>TAMIZ Nº</t>
  </si>
  <si>
    <t>DIAMETRO (mm)</t>
  </si>
  <si>
    <t>PESO RETENIDO (grs)</t>
  </si>
  <si>
    <t>% RETENIDO</t>
  </si>
  <si>
    <t>% QUE PASA</t>
  </si>
  <si>
    <t>FONDO</t>
  </si>
  <si>
    <t>DISTRIBUCION GRANULOMETRICA</t>
  </si>
  <si>
    <t>3/4</t>
  </si>
  <si>
    <t>1/2</t>
  </si>
  <si>
    <t>3/8</t>
  </si>
  <si>
    <r>
      <t xml:space="preserve">% QUE PASA = 100 - </t>
    </r>
    <r>
      <rPr>
        <b/>
        <sz val="16"/>
        <rFont val="Symbol"/>
        <family val="1"/>
        <charset val="2"/>
      </rPr>
      <t>S</t>
    </r>
    <r>
      <rPr>
        <b/>
        <sz val="11"/>
        <rFont val="Arial"/>
        <family val="2"/>
      </rPr>
      <t xml:space="preserve"> %RETENIDO</t>
    </r>
  </si>
  <si>
    <t>CONTROLES:</t>
  </si>
  <si>
    <t>S</t>
  </si>
  <si>
    <t>SI</t>
  </si>
  <si>
    <t>NO</t>
  </si>
  <si>
    <t>Clasificación General:</t>
  </si>
  <si>
    <t>SubClasificación:</t>
  </si>
  <si>
    <t>Control de Malla # 200:</t>
  </si>
  <si>
    <t>Gradación del Suelo:</t>
  </si>
  <si>
    <t>Buena</t>
  </si>
  <si>
    <t>Mala</t>
  </si>
  <si>
    <t>Clasificación del Suelo:</t>
  </si>
  <si>
    <r>
      <t>1.</t>
    </r>
    <r>
      <rPr>
        <b/>
        <sz val="11"/>
        <rFont val="Arial"/>
        <family val="2"/>
      </rPr>
      <t xml:space="preserve"> DETERMINACION DEL LIMITE LIQUIDO</t>
    </r>
  </si>
  <si>
    <r>
      <t>2.</t>
    </r>
    <r>
      <rPr>
        <b/>
        <sz val="11"/>
        <rFont val="Arial"/>
        <family val="2"/>
      </rPr>
      <t xml:space="preserve"> DETERMINACION DEL LIMITE PLASTICO</t>
    </r>
  </si>
  <si>
    <r>
      <t>3.</t>
    </r>
    <r>
      <rPr>
        <b/>
        <sz val="11"/>
        <rFont val="Arial"/>
        <family val="2"/>
      </rPr>
      <t xml:space="preserve"> HUMEDAD NATURAL</t>
    </r>
  </si>
  <si>
    <t>GW</t>
  </si>
  <si>
    <t>GP</t>
  </si>
  <si>
    <t>GM</t>
  </si>
  <si>
    <t>GM-GC</t>
  </si>
  <si>
    <t>GC</t>
  </si>
  <si>
    <t>SW</t>
  </si>
  <si>
    <t>SP</t>
  </si>
  <si>
    <t>SM</t>
  </si>
  <si>
    <t>SM-SC</t>
  </si>
  <si>
    <t>SC</t>
  </si>
  <si>
    <t>Caso de Frontera</t>
  </si>
  <si>
    <t>Requiere símbolo Doble de acuerdo a Plasticidad y Gradación (Ej: GP-GC)</t>
  </si>
  <si>
    <t>DIAMETRO</t>
  </si>
  <si>
    <t>% PASA</t>
  </si>
  <si>
    <t>Y=</t>
  </si>
  <si>
    <t>X10=</t>
  </si>
  <si>
    <t>X30=</t>
  </si>
  <si>
    <t>X60=</t>
  </si>
  <si>
    <r>
      <t>D</t>
    </r>
    <r>
      <rPr>
        <b/>
        <vertAlign val="subscript"/>
        <sz val="12"/>
        <rFont val="Arial"/>
        <family val="2"/>
      </rPr>
      <t>10</t>
    </r>
    <r>
      <rPr>
        <b/>
        <sz val="12"/>
        <rFont val="Arial"/>
        <family val="2"/>
      </rPr>
      <t>:</t>
    </r>
  </si>
  <si>
    <r>
      <t>D</t>
    </r>
    <r>
      <rPr>
        <b/>
        <vertAlign val="subscript"/>
        <sz val="12"/>
        <rFont val="Arial"/>
        <family val="2"/>
      </rPr>
      <t>30</t>
    </r>
    <r>
      <rPr>
        <b/>
        <sz val="12"/>
        <rFont val="Arial"/>
        <family val="2"/>
      </rPr>
      <t>:</t>
    </r>
  </si>
  <si>
    <r>
      <t>D</t>
    </r>
    <r>
      <rPr>
        <b/>
        <vertAlign val="subscript"/>
        <sz val="12"/>
        <rFont val="Arial"/>
        <family val="2"/>
      </rPr>
      <t>60</t>
    </r>
    <r>
      <rPr>
        <b/>
        <sz val="12"/>
        <rFont val="Arial"/>
        <family val="2"/>
      </rPr>
      <t>:</t>
    </r>
  </si>
  <si>
    <t>CU:</t>
  </si>
  <si>
    <t>CC:</t>
  </si>
  <si>
    <t>INDICE(ESTIMACION.LOGARITMICA(conocido_y;conocido_x);1)</t>
  </si>
  <si>
    <t>m</t>
  </si>
  <si>
    <t>b</t>
  </si>
  <si>
    <t>X</t>
  </si>
  <si>
    <t>Y</t>
  </si>
  <si>
    <t>Humedad Natural:</t>
  </si>
  <si>
    <r>
      <t>NOTA:</t>
    </r>
    <r>
      <rPr>
        <i/>
        <sz val="10"/>
        <rFont val="Arial"/>
      </rPr>
      <t xml:space="preserve"> Modifique solo las celdas rellenas de</t>
    </r>
  </si>
  <si>
    <t>color azul</t>
  </si>
  <si>
    <t>Gravas arcillosas, mezclas mal graduadas de grava, arena y arcilla</t>
  </si>
  <si>
    <t>Gravas limosas, mezclas mal graduadas de grava, arena y limo</t>
  </si>
  <si>
    <t>Gravas mal graduadas, mezclas de grava y arena con pocos finos o sin ellos</t>
  </si>
  <si>
    <t>Gravas bien graduadas, mezclas de grava y arena con pocos finos o sin ellos</t>
  </si>
  <si>
    <t>Arenas arcillosas, mezclas mal graduadas de arenas y arcillas</t>
  </si>
  <si>
    <t>Arenas limosas, mezclas de arena y limo mal graduadas</t>
  </si>
  <si>
    <t>Grava Limo-Arcillosa mal graduada, con cantidad apreciable de finos</t>
  </si>
  <si>
    <t>Arena Limo-Arcillosa mal graduada, con cantidad apreciable de finos</t>
  </si>
  <si>
    <t>Arenas mal graduadas, arenas con grava, con pocos finos o sin ellos</t>
  </si>
  <si>
    <t>Arenas bien graduadas, arenas con grava, con pocos finos o sin ellos</t>
  </si>
  <si>
    <t>Arcillas inorgánicas de plasticidad elevada, arcillas grasas</t>
  </si>
  <si>
    <t>Arcillas inorgánicas de plasticidad baja a media, arcillas con grava, arcillas arenosas, arcillas limosas, y arcillas magras</t>
  </si>
  <si>
    <t>Limos inorgánicos, suelos limosos o arenosos, limos elásticos</t>
  </si>
  <si>
    <t>Limos inorgánicos y arenas muy finas, polvo de roca, arenas finas limosas o arcillosas con ligera plasticidad</t>
  </si>
  <si>
    <t>Arcillas orgánicas de plasticidad media a alta</t>
  </si>
  <si>
    <t>Limos orgánicos y arcillas limosas orgánicas de baja plasticidad</t>
  </si>
  <si>
    <t>X1</t>
  </si>
  <si>
    <t>X2</t>
  </si>
  <si>
    <t>Y1</t>
  </si>
  <si>
    <t>Y2</t>
  </si>
  <si>
    <t>a</t>
  </si>
  <si>
    <t>D10</t>
  </si>
  <si>
    <t>D30</t>
  </si>
  <si>
    <t>D60</t>
  </si>
  <si>
    <t>ESTE TRABAJO HA SIDO ELABORADO POR</t>
  </si>
  <si>
    <t>FABIAN LEONARDO YORY SANABRIA</t>
  </si>
  <si>
    <t>INGENIERO GEOLOGO</t>
  </si>
  <si>
    <t>fabianyory@gmail.com</t>
  </si>
  <si>
    <t>Complementado en Enero del 2006</t>
  </si>
  <si>
    <t>MATERIA ORGANICA:</t>
  </si>
  <si>
    <t>FLY - fabianyory@gmail.com</t>
  </si>
  <si>
    <t>C</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</si>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</sst>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88" formatCode="0.000"/>
    <numFmt numFmtId="189" formatCode="0.0000"/>
    <numFmt numFmtId="192" formatCode="0.0000000"/>
    <numFmt numFmtId="203" formatCode="#,##0.00000"/>
  </numFmts>
  <fonts count="32" x14ac:knownFonts="1">
    <font>
      <sz val="10"/>
      <name val="Arial"/>
    </font>
    <font>
      <b/>
      <sz val="10"/>
      <name val="Arial"/>
    </font>
    <font>
      <i/>
      <sz val="10"/>
      <name val="Arial"/>
    </font>
    <font>
      <b/>
      <i/>
      <sz val="10"/>
      <name val="Arial"/>
    </font>
    <font>
      <b/>
      <sz val="11"/>
      <name val="Arial"/>
      <family val="2"/>
    </font>
    <font>
      <b/>
      <i/>
      <sz val="11"/>
      <name val="Arial"/>
      <family val="2"/>
    </font>
    <font>
      <sz val="12"/>
      <name val="Arial"/>
      <family val="2"/>
    </font>
    <font>
      <b/>
      <sz val="12"/>
      <name val="Arial"/>
      <family val="2"/>
    </font>
    <font>
      <b/>
      <sz val="11"/>
      <name val="Arial"/>
      <family val="2"/>
    </font>
    <font>
      <sz val="11"/>
      <name val="Arial"/>
      <family val="2"/>
    </font>
    <font>
      <sz val="8"/>
      <name val="Arial"/>
      <family val="2"/>
    </font>
    <font>
      <sz val="10"/>
      <name val="Arial"/>
      <family val="2"/>
    </font>
    <font>
      <b/>
      <i/>
      <sz val="6"/>
      <name val="Arial"/>
      <family val="2"/>
    </font>
    <font>
      <i/>
      <sz val="10"/>
      <color indexed="9"/>
      <name val="Arial"/>
      <family val="2"/>
    </font>
    <font>
      <sz val="10"/>
      <color indexed="9"/>
      <name val="Arial"/>
      <family val="2"/>
    </font>
    <font>
      <b/>
      <sz val="16"/>
      <name val="Arial"/>
      <family val="2"/>
    </font>
    <font>
      <b/>
      <sz val="16"/>
      <name val="Symbol"/>
      <family val="1"/>
      <charset val="2"/>
    </font>
    <font>
      <b/>
      <sz val="10"/>
      <color indexed="10"/>
      <name val="Arial"/>
      <family val="2"/>
    </font>
    <font>
      <b/>
      <sz val="14"/>
      <name val="Symbol"/>
      <family val="1"/>
      <charset val="2"/>
    </font>
    <font>
      <b/>
      <sz val="10"/>
      <name val="Arial"/>
      <family val="2"/>
    </font>
    <font>
      <b/>
      <sz val="10"/>
      <color indexed="12"/>
      <name val="Arial"/>
      <family val="2"/>
    </font>
    <font>
      <b/>
      <sz val="12"/>
      <color indexed="12"/>
      <name val="Arial"/>
      <family val="2"/>
    </font>
    <font>
      <sz val="8"/>
      <color indexed="81"/>
      <name val="Tahoma"/>
      <family val="2"/>
    </font>
    <font>
      <b/>
      <sz val="8"/>
      <color indexed="81"/>
      <name val="Tahoma"/>
      <family val="2"/>
    </font>
    <font>
      <b/>
      <sz val="11"/>
      <color indexed="10"/>
      <name val="Arial"/>
      <family val="2"/>
    </font>
    <font>
      <sz val="10"/>
      <color indexed="9"/>
      <name val="Arial"/>
      <family val="2"/>
    </font>
    <font>
      <b/>
      <sz val="8"/>
      <name val="Arial"/>
      <family val="2"/>
    </font>
    <font>
      <b/>
      <sz val="9"/>
      <name val="Arial"/>
      <family val="2"/>
    </font>
    <font>
      <b/>
      <sz val="12"/>
      <color indexed="48"/>
      <name val="Arial"/>
      <family val="2"/>
    </font>
    <font>
      <b/>
      <vertAlign val="subscript"/>
      <sz val="12"/>
      <name val="Arial"/>
      <family val="2"/>
    </font>
    <font>
      <b/>
      <sz val="10"/>
      <color indexed="48"/>
      <name val="Arial"/>
      <family val="2"/>
    </font>
    <font>
      <b/>
      <i/>
      <sz val="10"/>
      <name val="Arial"/>
      <family val="2"/>
    </font>
  </fonts>
  <fills count="6">
    <fill>
      <patternFill patternType="none"/>
    </fill>
    <fill>
      <patternFill patternType="gray125"/>
    </fill>
    <fill>
      <patternFill patternType="solid">
        <fgColor indexed="44"/>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s>
  <borders count="21">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161">
    <xf numFmtId="0" fontId="0" fillId="0" borderId="0" xfId="0"/>
    <xf numFmtId="2" fontId="0" fillId="0" borderId="0" xfId="0" applyNumberFormat="1"/>
    <xf numFmtId="0" fontId="6" fillId="0" borderId="0" xfId="0" applyFont="1"/>
    <xf numFmtId="0" fontId="7" fillId="0" borderId="0" xfId="0" applyFont="1"/>
    <xf numFmtId="0" fontId="9" fillId="0" borderId="0" xfId="0" applyFont="1"/>
    <xf numFmtId="0" fontId="1" fillId="0" borderId="0" xfId="0" applyFont="1"/>
    <xf numFmtId="188" fontId="0" fillId="0" borderId="0" xfId="0" applyNumberFormat="1"/>
    <xf numFmtId="0" fontId="14" fillId="0" borderId="0" xfId="0" applyFont="1"/>
    <xf numFmtId="0" fontId="0" fillId="0" borderId="0" xfId="0" applyAlignment="1">
      <alignment horizontal="center"/>
    </xf>
    <xf numFmtId="0" fontId="0" fillId="0" borderId="0" xfId="0" quotePrefix="1" applyAlignment="1">
      <alignment horizontal="center"/>
    </xf>
    <xf numFmtId="188" fontId="0" fillId="0" borderId="0" xfId="0" applyNumberFormat="1" applyAlignment="1">
      <alignment horizontal="right"/>
    </xf>
    <xf numFmtId="0" fontId="1" fillId="0" borderId="0" xfId="0" applyFont="1" applyAlignment="1">
      <alignment horizontal="center" vertical="center" wrapText="1"/>
    </xf>
    <xf numFmtId="0" fontId="0" fillId="0" borderId="0" xfId="0" applyAlignment="1">
      <alignment vertical="top" wrapText="1"/>
    </xf>
    <xf numFmtId="3" fontId="0" fillId="0" borderId="0" xfId="0" applyNumberFormat="1" applyAlignment="1">
      <alignment vertical="top" wrapText="1"/>
    </xf>
    <xf numFmtId="4" fontId="1" fillId="0" borderId="0" xfId="0" applyNumberFormat="1" applyFont="1" applyAlignment="1">
      <alignment horizontal="center" vertical="center" wrapText="1"/>
    </xf>
    <xf numFmtId="192" fontId="0" fillId="0" borderId="0" xfId="0" applyNumberFormat="1" applyAlignment="1">
      <alignment wrapText="1"/>
    </xf>
    <xf numFmtId="192" fontId="1" fillId="0" borderId="0" xfId="0" applyNumberFormat="1" applyFont="1" applyAlignment="1">
      <alignment horizontal="center" vertical="center" wrapText="1"/>
    </xf>
    <xf numFmtId="0" fontId="19" fillId="0" borderId="0" xfId="0" applyFont="1" applyAlignment="1">
      <alignment horizontal="center" wrapText="1"/>
    </xf>
    <xf numFmtId="203" fontId="0" fillId="0" borderId="0" xfId="0" applyNumberFormat="1" applyAlignment="1">
      <alignment vertical="top" wrapText="1"/>
    </xf>
    <xf numFmtId="203" fontId="0" fillId="0" borderId="0" xfId="0" applyNumberFormat="1"/>
    <xf numFmtId="0" fontId="19" fillId="0" borderId="0" xfId="0" applyFont="1" applyAlignment="1">
      <alignment horizontal="center" vertical="center" wrapText="1"/>
    </xf>
    <xf numFmtId="0" fontId="19" fillId="0" borderId="0" xfId="0" applyFont="1" applyAlignment="1">
      <alignment horizontal="center"/>
    </xf>
    <xf numFmtId="2" fontId="1" fillId="2" borderId="1" xfId="0" applyNumberFormat="1" applyFont="1" applyFill="1" applyBorder="1" applyProtection="1">
      <protection locked="0"/>
    </xf>
    <xf numFmtId="0" fontId="3" fillId="3" borderId="2" xfId="0" applyFont="1" applyFill="1" applyBorder="1" applyAlignment="1" applyProtection="1">
      <alignment horizontal="center"/>
      <protection locked="0"/>
    </xf>
    <xf numFmtId="188" fontId="2" fillId="2" borderId="3" xfId="0" applyNumberFormat="1" applyFont="1" applyFill="1" applyBorder="1" applyAlignment="1" applyProtection="1">
      <alignment horizontal="center"/>
      <protection locked="0"/>
    </xf>
    <xf numFmtId="188" fontId="2" fillId="2" borderId="4" xfId="0" applyNumberFormat="1"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19" fillId="2" borderId="0" xfId="0" applyFont="1" applyFill="1" applyAlignment="1" applyProtection="1">
      <alignment horizontal="center"/>
      <protection locked="0"/>
    </xf>
    <xf numFmtId="188" fontId="2" fillId="2" borderId="6" xfId="0" applyNumberFormat="1" applyFont="1" applyFill="1" applyBorder="1" applyAlignment="1" applyProtection="1">
      <alignment horizontal="center"/>
      <protection locked="0"/>
    </xf>
    <xf numFmtId="0" fontId="30" fillId="0" borderId="0" xfId="0" applyFont="1" applyFill="1" applyBorder="1" applyAlignment="1" applyProtection="1">
      <alignment horizontal="left"/>
    </xf>
    <xf numFmtId="0" fontId="1" fillId="4" borderId="7" xfId="0" applyFont="1" applyFill="1" applyBorder="1" applyAlignment="1" applyProtection="1">
      <alignment horizontal="center"/>
    </xf>
    <xf numFmtId="0" fontId="19" fillId="0" borderId="0" xfId="0" applyFont="1"/>
    <xf numFmtId="0" fontId="31" fillId="0" borderId="0" xfId="0" applyFont="1" applyProtection="1"/>
    <xf numFmtId="0" fontId="2" fillId="0" borderId="0" xfId="0" applyFont="1" applyProtection="1"/>
    <xf numFmtId="0" fontId="31" fillId="2" borderId="0" xfId="0" applyFont="1" applyFill="1" applyAlignment="1" applyProtection="1">
      <alignment horizontal="center"/>
    </xf>
    <xf numFmtId="0" fontId="6" fillId="0" borderId="0" xfId="0" applyFont="1" applyProtection="1"/>
    <xf numFmtId="0" fontId="0" fillId="0" borderId="0" xfId="0" applyProtection="1"/>
    <xf numFmtId="0" fontId="4" fillId="0" borderId="0" xfId="0" applyFont="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Border="1" applyProtection="1"/>
    <xf numFmtId="2" fontId="1" fillId="0" borderId="0" xfId="0" applyNumberFormat="1" applyFont="1" applyBorder="1" applyProtection="1"/>
    <xf numFmtId="0" fontId="7" fillId="0" borderId="0" xfId="0" applyFont="1" applyProtection="1"/>
    <xf numFmtId="0" fontId="1" fillId="4" borderId="7" xfId="0" applyFont="1" applyFill="1" applyBorder="1" applyAlignment="1" applyProtection="1">
      <alignment horizontal="center" wrapText="1"/>
    </xf>
    <xf numFmtId="0" fontId="0" fillId="0" borderId="6"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188" fontId="18" fillId="4" borderId="11" xfId="0" applyNumberFormat="1" applyFont="1" applyFill="1" applyBorder="1" applyAlignment="1" applyProtection="1">
      <alignment horizontal="right"/>
    </xf>
    <xf numFmtId="188" fontId="7" fillId="4" borderId="1" xfId="0" applyNumberFormat="1" applyFont="1" applyFill="1" applyBorder="1" applyProtection="1"/>
    <xf numFmtId="188" fontId="0" fillId="0" borderId="0" xfId="0" applyNumberFormat="1" applyBorder="1" applyAlignment="1" applyProtection="1">
      <alignment horizontal="center"/>
    </xf>
    <xf numFmtId="0" fontId="19" fillId="4" borderId="12" xfId="0" applyFont="1" applyFill="1" applyBorder="1" applyProtection="1"/>
    <xf numFmtId="188" fontId="10" fillId="0" borderId="13" xfId="0" applyNumberFormat="1" applyFont="1" applyBorder="1" applyAlignment="1" applyProtection="1">
      <alignment horizontal="left"/>
    </xf>
    <xf numFmtId="0" fontId="0" fillId="0" borderId="13" xfId="0" applyBorder="1" applyProtection="1"/>
    <xf numFmtId="0" fontId="0" fillId="0" borderId="14" xfId="0" applyBorder="1" applyProtection="1"/>
    <xf numFmtId="0" fontId="17" fillId="0" borderId="15" xfId="0" applyFont="1" applyBorder="1" applyProtection="1"/>
    <xf numFmtId="188" fontId="10" fillId="0" borderId="0" xfId="0" applyNumberFormat="1" applyFont="1" applyBorder="1" applyAlignment="1" applyProtection="1">
      <alignment horizontal="left"/>
    </xf>
    <xf numFmtId="0" fontId="0" fillId="0" borderId="16" xfId="0" applyBorder="1" applyProtection="1"/>
    <xf numFmtId="0" fontId="17" fillId="0" borderId="17" xfId="0" applyFont="1" applyBorder="1" applyProtection="1"/>
    <xf numFmtId="188" fontId="10" fillId="0" borderId="18" xfId="0" applyNumberFormat="1" applyFont="1" applyBorder="1" applyAlignment="1" applyProtection="1">
      <alignment horizontal="left"/>
    </xf>
    <xf numFmtId="0" fontId="0" fillId="0" borderId="18" xfId="0" applyBorder="1" applyProtection="1"/>
    <xf numFmtId="0" fontId="0" fillId="0" borderId="19" xfId="0" applyBorder="1" applyProtection="1"/>
    <xf numFmtId="0" fontId="17" fillId="0" borderId="0" xfId="0" applyFont="1" applyBorder="1" applyProtection="1"/>
    <xf numFmtId="188" fontId="26" fillId="4" borderId="17" xfId="0" applyNumberFormat="1" applyFont="1" applyFill="1" applyBorder="1" applyAlignment="1" applyProtection="1">
      <alignment horizontal="left"/>
    </xf>
    <xf numFmtId="0" fontId="19" fillId="4" borderId="18" xfId="0" applyFont="1" applyFill="1" applyBorder="1" applyProtection="1"/>
    <xf numFmtId="0" fontId="19" fillId="4" borderId="19" xfId="0" applyFont="1" applyFill="1" applyBorder="1" applyProtection="1"/>
    <xf numFmtId="0" fontId="8" fillId="0" borderId="0" xfId="0" applyFont="1" applyProtection="1"/>
    <xf numFmtId="0" fontId="31" fillId="0" borderId="0" xfId="0" applyFont="1" applyFill="1" applyProtection="1"/>
    <xf numFmtId="0" fontId="2" fillId="0" borderId="0" xfId="0" applyFont="1" applyFill="1" applyProtection="1"/>
    <xf numFmtId="0" fontId="0" fillId="0" borderId="0" xfId="0" applyFill="1" applyProtection="1"/>
    <xf numFmtId="0" fontId="1" fillId="0" borderId="0" xfId="0" applyFont="1" applyBorder="1" applyAlignment="1" applyProtection="1">
      <alignment horizontal="center"/>
    </xf>
    <xf numFmtId="0" fontId="0" fillId="0" borderId="0" xfId="0" applyBorder="1" applyAlignment="1" applyProtection="1">
      <alignment horizontal="center"/>
    </xf>
    <xf numFmtId="0" fontId="7" fillId="0" borderId="12" xfId="0" applyFont="1" applyBorder="1" applyAlignment="1" applyProtection="1">
      <alignment horizontal="left"/>
    </xf>
    <xf numFmtId="189" fontId="30" fillId="0" borderId="14" xfId="0" applyNumberFormat="1" applyFont="1" applyBorder="1" applyAlignment="1" applyProtection="1">
      <alignment horizontal="right"/>
    </xf>
    <xf numFmtId="188" fontId="30" fillId="0" borderId="14" xfId="0" applyNumberFormat="1" applyFont="1" applyBorder="1" applyAlignment="1" applyProtection="1">
      <alignment horizontal="right"/>
    </xf>
    <xf numFmtId="0" fontId="7" fillId="0" borderId="15" xfId="0" applyFont="1" applyBorder="1" applyAlignment="1" applyProtection="1">
      <alignment horizontal="left"/>
    </xf>
    <xf numFmtId="189" fontId="30" fillId="0" borderId="16" xfId="0" applyNumberFormat="1" applyFont="1" applyBorder="1" applyAlignment="1" applyProtection="1">
      <alignment horizontal="right"/>
    </xf>
    <xf numFmtId="0" fontId="7" fillId="0" borderId="15" xfId="0" applyFont="1" applyBorder="1" applyProtection="1"/>
    <xf numFmtId="0" fontId="7" fillId="0" borderId="17" xfId="0" applyFont="1" applyBorder="1" applyAlignment="1" applyProtection="1">
      <alignment horizontal="left"/>
    </xf>
    <xf numFmtId="189" fontId="30" fillId="0" borderId="19" xfId="0" applyNumberFormat="1" applyFont="1" applyBorder="1" applyAlignment="1" applyProtection="1">
      <alignment horizontal="right"/>
    </xf>
    <xf numFmtId="0" fontId="0" fillId="0" borderId="17" xfId="0" applyBorder="1" applyProtection="1"/>
    <xf numFmtId="0" fontId="20" fillId="0" borderId="13" xfId="0" applyFont="1" applyBorder="1" applyProtection="1"/>
    <xf numFmtId="0" fontId="10" fillId="0" borderId="13" xfId="0" applyFont="1" applyBorder="1" applyProtection="1"/>
    <xf numFmtId="0" fontId="0" fillId="0" borderId="15" xfId="0" applyBorder="1" applyProtection="1"/>
    <xf numFmtId="0" fontId="27" fillId="0" borderId="0" xfId="0" applyFont="1" applyBorder="1" applyProtection="1"/>
    <xf numFmtId="0" fontId="20" fillId="0" borderId="0" xfId="0" applyFont="1" applyBorder="1" applyProtection="1"/>
    <xf numFmtId="0" fontId="25" fillId="0" borderId="0" xfId="0" applyFont="1" applyBorder="1" applyProtection="1"/>
    <xf numFmtId="0" fontId="10" fillId="0" borderId="0" xfId="0" applyFont="1" applyBorder="1" applyProtection="1"/>
    <xf numFmtId="188" fontId="19" fillId="0" borderId="0" xfId="0" applyNumberFormat="1" applyFont="1" applyBorder="1" applyProtection="1"/>
    <xf numFmtId="0" fontId="7" fillId="5" borderId="12" xfId="0" applyFont="1" applyFill="1" applyBorder="1" applyAlignment="1" applyProtection="1"/>
    <xf numFmtId="0" fontId="7" fillId="5" borderId="13" xfId="0" applyFont="1" applyFill="1" applyBorder="1" applyAlignment="1" applyProtection="1"/>
    <xf numFmtId="0" fontId="21" fillId="0" borderId="13" xfId="0" applyFont="1" applyBorder="1" applyAlignment="1" applyProtection="1">
      <alignment horizontal="center"/>
    </xf>
    <xf numFmtId="0" fontId="0" fillId="5" borderId="15" xfId="0" applyFill="1" applyBorder="1" applyProtection="1"/>
    <xf numFmtId="0" fontId="0" fillId="5" borderId="0" xfId="0" applyFill="1" applyBorder="1" applyProtection="1"/>
    <xf numFmtId="0" fontId="0" fillId="5" borderId="17" xfId="0" applyFill="1" applyBorder="1" applyProtection="1"/>
    <xf numFmtId="0" fontId="0" fillId="5" borderId="18" xfId="0" applyFill="1" applyBorder="1" applyProtection="1"/>
    <xf numFmtId="0" fontId="5" fillId="0" borderId="0" xfId="0" applyFont="1" applyProtection="1"/>
    <xf numFmtId="0" fontId="24" fillId="0" borderId="0" xfId="0" applyFont="1" applyProtection="1"/>
    <xf numFmtId="0" fontId="12" fillId="0" borderId="0" xfId="0" applyFont="1" applyAlignment="1" applyProtection="1">
      <alignment horizontal="center"/>
    </xf>
    <xf numFmtId="0" fontId="3" fillId="0" borderId="2" xfId="0" applyFont="1" applyBorder="1" applyAlignment="1" applyProtection="1">
      <alignment horizontal="center"/>
    </xf>
    <xf numFmtId="0" fontId="3" fillId="0" borderId="0" xfId="0" applyFont="1" applyBorder="1" applyAlignment="1" applyProtection="1">
      <alignment horizontal="center"/>
    </xf>
    <xf numFmtId="0" fontId="2" fillId="0" borderId="3" xfId="0" applyFont="1" applyBorder="1" applyProtection="1"/>
    <xf numFmtId="188" fontId="2" fillId="0" borderId="0" xfId="0" applyNumberFormat="1" applyFont="1" applyBorder="1" applyAlignment="1" applyProtection="1">
      <alignment horizontal="center"/>
    </xf>
    <xf numFmtId="0" fontId="2" fillId="0" borderId="4" xfId="0" applyFont="1" applyBorder="1" applyProtection="1"/>
    <xf numFmtId="188" fontId="2" fillId="0" borderId="4" xfId="0" applyNumberFormat="1" applyFont="1" applyBorder="1" applyAlignment="1" applyProtection="1">
      <alignment horizontal="center"/>
    </xf>
    <xf numFmtId="188" fontId="2" fillId="0" borderId="0" xfId="0" applyNumberFormat="1" applyFont="1" applyFill="1" applyBorder="1" applyAlignment="1" applyProtection="1">
      <alignment horizontal="center"/>
    </xf>
    <xf numFmtId="0" fontId="2" fillId="0" borderId="5" xfId="0" applyFont="1" applyBorder="1" applyProtection="1"/>
    <xf numFmtId="0" fontId="2" fillId="0" borderId="0" xfId="0" applyFont="1" applyFill="1" applyBorder="1" applyAlignment="1" applyProtection="1">
      <alignment horizontal="center"/>
    </xf>
    <xf numFmtId="0" fontId="2" fillId="0" borderId="0" xfId="0" applyFont="1" applyFill="1" applyBorder="1" applyProtection="1"/>
    <xf numFmtId="0" fontId="13" fillId="0" borderId="0" xfId="0" applyFont="1" applyProtection="1"/>
    <xf numFmtId="188" fontId="2" fillId="0" borderId="5" xfId="0" applyNumberFormat="1" applyFont="1" applyBorder="1" applyAlignment="1" applyProtection="1">
      <alignment horizontal="center"/>
    </xf>
    <xf numFmtId="0" fontId="1" fillId="0" borderId="0" xfId="0" applyFont="1" applyProtection="1"/>
    <xf numFmtId="0" fontId="14" fillId="0" borderId="0" xfId="0" applyFont="1" applyProtection="1"/>
    <xf numFmtId="0" fontId="1" fillId="0" borderId="0" xfId="0" applyFont="1" applyAlignment="1" applyProtection="1">
      <alignment vertical="center"/>
    </xf>
    <xf numFmtId="188" fontId="0" fillId="0" borderId="0" xfId="0" applyNumberFormat="1" applyAlignment="1" applyProtection="1">
      <alignment vertical="center"/>
    </xf>
    <xf numFmtId="188" fontId="14" fillId="0" borderId="0" xfId="0" applyNumberFormat="1" applyFont="1" applyProtection="1"/>
    <xf numFmtId="0" fontId="1" fillId="5" borderId="12" xfId="0" applyFont="1" applyFill="1" applyBorder="1" applyProtection="1"/>
    <xf numFmtId="0" fontId="28" fillId="0" borderId="13" xfId="0" applyFont="1" applyBorder="1" applyAlignment="1" applyProtection="1">
      <alignment horizontal="center"/>
    </xf>
    <xf numFmtId="0" fontId="14" fillId="0" borderId="13" xfId="0" applyFont="1" applyBorder="1" applyProtection="1"/>
    <xf numFmtId="0" fontId="14" fillId="0" borderId="14" xfId="0" applyFont="1" applyBorder="1" applyProtection="1"/>
    <xf numFmtId="0" fontId="1" fillId="5" borderId="17" xfId="0" applyFont="1" applyFill="1" applyBorder="1" applyProtection="1"/>
    <xf numFmtId="188" fontId="30" fillId="0" borderId="16" xfId="0" applyNumberFormat="1" applyFont="1" applyBorder="1" applyAlignment="1" applyProtection="1">
      <alignment horizontal="right"/>
    </xf>
    <xf numFmtId="188" fontId="1" fillId="0" borderId="1" xfId="0" applyNumberFormat="1" applyFont="1" applyFill="1" applyBorder="1" applyProtection="1"/>
    <xf numFmtId="188" fontId="0" fillId="2" borderId="6" xfId="0" applyNumberFormat="1" applyFill="1" applyBorder="1" applyAlignment="1" applyProtection="1">
      <alignment horizontal="right" indent="1"/>
      <protection locked="0"/>
    </xf>
    <xf numFmtId="188" fontId="0" fillId="2" borderId="4" xfId="0" applyNumberFormat="1" applyFill="1" applyBorder="1" applyAlignment="1" applyProtection="1">
      <alignment horizontal="right" indent="1"/>
      <protection locked="0"/>
    </xf>
    <xf numFmtId="188" fontId="0" fillId="2" borderId="20" xfId="0" applyNumberFormat="1" applyFill="1" applyBorder="1" applyAlignment="1" applyProtection="1">
      <alignment horizontal="right" indent="1"/>
      <protection locked="0"/>
    </xf>
    <xf numFmtId="188" fontId="0" fillId="0" borderId="6" xfId="0" applyNumberFormat="1" applyBorder="1" applyAlignment="1" applyProtection="1">
      <alignment horizontal="right" indent="1"/>
    </xf>
    <xf numFmtId="188" fontId="0" fillId="0" borderId="4" xfId="0" applyNumberFormat="1" applyBorder="1" applyAlignment="1" applyProtection="1">
      <alignment horizontal="right" indent="1"/>
    </xf>
    <xf numFmtId="188" fontId="0" fillId="0" borderId="5" xfId="0" applyNumberFormat="1" applyBorder="1" applyAlignment="1" applyProtection="1">
      <alignment horizontal="right" indent="1"/>
    </xf>
    <xf numFmtId="188" fontId="0" fillId="0" borderId="20" xfId="0" applyNumberFormat="1" applyBorder="1" applyAlignment="1" applyProtection="1">
      <alignment horizontal="right" indent="1"/>
    </xf>
    <xf numFmtId="0" fontId="19" fillId="0" borderId="14"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19" xfId="0" applyFont="1" applyBorder="1" applyAlignment="1" applyProtection="1">
      <alignment horizontal="center" vertical="center"/>
    </xf>
    <xf numFmtId="0" fontId="7" fillId="0" borderId="2" xfId="0" applyFont="1" applyBorder="1" applyAlignment="1">
      <alignment horizontal="center"/>
    </xf>
    <xf numFmtId="0" fontId="19" fillId="0" borderId="2" xfId="0" applyFont="1" applyBorder="1" applyAlignment="1">
      <alignment horizontal="center"/>
    </xf>
    <xf numFmtId="188" fontId="0" fillId="0" borderId="6" xfId="0" applyNumberFormat="1" applyBorder="1"/>
    <xf numFmtId="188" fontId="0" fillId="0" borderId="4" xfId="0" applyNumberFormat="1" applyBorder="1"/>
    <xf numFmtId="188" fontId="0" fillId="0" borderId="5" xfId="0" applyNumberFormat="1" applyBorder="1"/>
    <xf numFmtId="0" fontId="0" fillId="0" borderId="6" xfId="0" applyBorder="1"/>
    <xf numFmtId="0" fontId="0" fillId="0" borderId="4" xfId="0" applyBorder="1"/>
    <xf numFmtId="0" fontId="0" fillId="0" borderId="5" xfId="0" applyBorder="1"/>
    <xf numFmtId="189" fontId="0" fillId="0" borderId="6" xfId="0" applyNumberFormat="1" applyBorder="1"/>
    <xf numFmtId="189" fontId="0" fillId="0" borderId="4" xfId="0" applyNumberFormat="1" applyBorder="1"/>
    <xf numFmtId="189" fontId="0" fillId="0" borderId="5" xfId="0" applyNumberFormat="1" applyBorder="1"/>
    <xf numFmtId="0" fontId="11" fillId="0" borderId="2" xfId="0" applyFont="1" applyBorder="1"/>
    <xf numFmtId="0" fontId="11" fillId="0" borderId="11" xfId="0" applyFont="1" applyBorder="1"/>
    <xf numFmtId="0" fontId="0" fillId="0" borderId="9" xfId="0" applyBorder="1"/>
    <xf numFmtId="0" fontId="0" fillId="0" borderId="1" xfId="0" applyBorder="1"/>
    <xf numFmtId="0" fontId="15" fillId="4" borderId="11"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 xfId="0" applyFont="1" applyFill="1" applyBorder="1" applyAlignment="1" applyProtection="1">
      <alignment horizontal="center"/>
    </xf>
    <xf numFmtId="0" fontId="15" fillId="0" borderId="0" xfId="0" applyFont="1" applyFill="1" applyBorder="1" applyAlignment="1">
      <alignment horizontal="center"/>
    </xf>
    <xf numFmtId="0" fontId="19" fillId="0" borderId="0"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9" fillId="0" borderId="18" xfId="0" applyFont="1" applyBorder="1" applyAlignment="1" applyProtection="1">
      <alignment horizontal="left" vertical="center" wrapText="1"/>
    </xf>
    <xf numFmtId="0" fontId="19" fillId="0" borderId="19" xfId="0" applyFont="1" applyBorder="1" applyAlignment="1" applyProtection="1">
      <alignment horizontal="left" vertical="center" wrapText="1"/>
    </xf>
    <xf numFmtId="0" fontId="7" fillId="0" borderId="15" xfId="0" applyFont="1" applyBorder="1" applyAlignment="1" applyProtection="1">
      <alignment horizontal="left"/>
    </xf>
    <xf numFmtId="0" fontId="7" fillId="0" borderId="0" xfId="0" applyFont="1" applyBorder="1" applyAlignment="1" applyProtection="1">
      <alignment horizontal="left"/>
    </xf>
    <xf numFmtId="0" fontId="7" fillId="0" borderId="12" xfId="0" applyFont="1" applyBorder="1" applyAlignment="1" applyProtection="1">
      <alignment horizontal="left"/>
    </xf>
    <xf numFmtId="0" fontId="7" fillId="0" borderId="13" xfId="0" applyFont="1" applyBorder="1" applyAlignment="1" applyProtection="1">
      <alignment horizontal="left"/>
    </xf>
    <xf numFmtId="0" fontId="31" fillId="0" borderId="13" xfId="0" applyFont="1" applyFill="1" applyBorder="1" applyAlignment="1" applyProtection="1">
      <alignment horizontal="center"/>
    </xf>
  </cellXfs>
  <cellStyles count="1">
    <cellStyle name="Normal" xfId="0" builtinId="0"/>
  </cellStyles>
  <dxfs count="15">
    <dxf>
      <font>
        <condense val="0"/>
        <extend val="0"/>
        <color indexed="9"/>
      </font>
    </dxf>
    <dxf>
      <fill>
        <patternFill>
          <bgColor indexed="44"/>
        </patternFill>
      </fill>
    </dxf>
    <dxf>
      <font>
        <condense val="0"/>
        <extend val="0"/>
        <color indexed="9"/>
      </font>
    </dxf>
    <dxf>
      <font>
        <b/>
        <i val="0"/>
        <condense val="0"/>
        <extend val="0"/>
        <color indexed="10"/>
      </font>
    </dxf>
    <dxf>
      <font>
        <condense val="0"/>
        <extend val="0"/>
        <color indexed="9"/>
      </font>
    </dxf>
    <dxf>
      <font>
        <b/>
        <i val="0"/>
        <condense val="0"/>
        <extend val="0"/>
        <color indexed="10"/>
      </font>
    </dxf>
    <dxf>
      <fill>
        <patternFill>
          <bgColor rgb="FFFF0000"/>
        </patternFill>
      </fill>
    </dxf>
    <dxf>
      <font>
        <b/>
        <i val="0"/>
        <color rgb="FFFF0000"/>
      </font>
      <numFmt numFmtId="1" formatCode="0"/>
      <fill>
        <patternFill>
          <bgColor rgb="FFFF0000"/>
        </patternFill>
      </fill>
    </dxf>
    <dxf>
      <font>
        <b/>
        <i val="0"/>
        <color rgb="FFFF0000"/>
      </font>
      <numFmt numFmtId="1" formatCode="0"/>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9185667752444"/>
          <c:y val="6.1274656466989479E-2"/>
          <c:w val="0.8403908794788274"/>
          <c:h val="0.78186461651878569"/>
        </c:manualLayout>
      </c:layout>
      <c:scatterChart>
        <c:scatterStyle val="smoothMarker"/>
        <c:varyColors val="0"/>
        <c:ser>
          <c:idx val="0"/>
          <c:order val="0"/>
          <c:spPr>
            <a:ln w="25400">
              <a:solidFill>
                <a:srgbClr val="3366FF"/>
              </a:solidFill>
              <a:prstDash val="solid"/>
            </a:ln>
          </c:spPr>
          <c:marker>
            <c:symbol val="none"/>
          </c:marker>
          <c:xVal>
            <c:numRef>
              <c:f>ANALISIS_GRANULOMETRICO!$B$13:$B$22</c:f>
              <c:numCache>
                <c:formatCode>0.000</c:formatCode>
                <c:ptCount val="10"/>
                <c:pt idx="0">
                  <c:v>50.8</c:v>
                </c:pt>
                <c:pt idx="1">
                  <c:v>25.4</c:v>
                </c:pt>
                <c:pt idx="2">
                  <c:v>19.100000000000001</c:v>
                </c:pt>
                <c:pt idx="3">
                  <c:v>12.7</c:v>
                </c:pt>
                <c:pt idx="4">
                  <c:v>9.52</c:v>
                </c:pt>
                <c:pt idx="5">
                  <c:v>4.76</c:v>
                </c:pt>
                <c:pt idx="6">
                  <c:v>2</c:v>
                </c:pt>
                <c:pt idx="7">
                  <c:v>0.84</c:v>
                </c:pt>
                <c:pt idx="8">
                  <c:v>0.42</c:v>
                </c:pt>
                <c:pt idx="9">
                  <c:v>7.3999999999999996E-2</c:v>
                </c:pt>
              </c:numCache>
            </c:numRef>
          </c:xVal>
          <c:yVal>
            <c:numRef>
              <c:f>ANALISIS_GRANULOMETRICO!$E$13:$E$22</c:f>
              <c:numCache>
                <c:formatCode>0.000</c:formatCode>
                <c:ptCount val="10"/>
                <c:pt idx="0">
                  <c:v>100</c:v>
                </c:pt>
                <c:pt idx="1">
                  <c:v>100</c:v>
                </c:pt>
                <c:pt idx="2">
                  <c:v>96.141552511415526</c:v>
                </c:pt>
                <c:pt idx="3">
                  <c:v>87.975646879756468</c:v>
                </c:pt>
                <c:pt idx="4">
                  <c:v>68.576864535768635</c:v>
                </c:pt>
                <c:pt idx="5">
                  <c:v>25.30441400304413</c:v>
                </c:pt>
                <c:pt idx="6">
                  <c:v>21.483257229832564</c:v>
                </c:pt>
                <c:pt idx="7">
                  <c:v>15.006849315068486</c:v>
                </c:pt>
                <c:pt idx="8">
                  <c:v>10.197108066971072</c:v>
                </c:pt>
                <c:pt idx="9">
                  <c:v>1.6582952815829444</c:v>
                </c:pt>
              </c:numCache>
            </c:numRef>
          </c:yVal>
          <c:smooth val="1"/>
        </c:ser>
        <c:ser>
          <c:idx val="1"/>
          <c:order val="1"/>
          <c:spPr>
            <a:ln w="12700">
              <a:solidFill>
                <a:srgbClr val="339933"/>
              </a:solidFill>
              <a:prstDash val="solid"/>
            </a:ln>
          </c:spPr>
          <c:marker>
            <c:symbol val="none"/>
          </c:marker>
          <c:xVal>
            <c:numRef>
              <c:f>ANALISIS_GRANULOMETRICO!$IT$18:$IT$19</c:f>
              <c:numCache>
                <c:formatCode>0.000</c:formatCode>
                <c:ptCount val="2"/>
                <c:pt idx="0">
                  <c:v>4.76</c:v>
                </c:pt>
                <c:pt idx="1">
                  <c:v>4.76</c:v>
                </c:pt>
              </c:numCache>
            </c:numRef>
          </c:xVal>
          <c:yVal>
            <c:numRef>
              <c:f>ANALISIS_GRANULOMETRICO!$IU$18:$IU$19</c:f>
              <c:numCache>
                <c:formatCode>General</c:formatCode>
                <c:ptCount val="2"/>
                <c:pt idx="0">
                  <c:v>0</c:v>
                </c:pt>
                <c:pt idx="1">
                  <c:v>100</c:v>
                </c:pt>
              </c:numCache>
            </c:numRef>
          </c:yVal>
          <c:smooth val="1"/>
        </c:ser>
        <c:ser>
          <c:idx val="2"/>
          <c:order val="2"/>
          <c:spPr>
            <a:ln w="12700">
              <a:solidFill>
                <a:srgbClr val="339933"/>
              </a:solidFill>
              <a:prstDash val="solid"/>
            </a:ln>
          </c:spPr>
          <c:marker>
            <c:symbol val="none"/>
          </c:marker>
          <c:xVal>
            <c:numRef>
              <c:f>ANALISIS_GRANULOMETRICO!$IT$14:$IT$15</c:f>
              <c:numCache>
                <c:formatCode>0.000</c:formatCode>
                <c:ptCount val="2"/>
                <c:pt idx="0">
                  <c:v>7.3999999999999996E-2</c:v>
                </c:pt>
                <c:pt idx="1">
                  <c:v>7.3999999999999996E-2</c:v>
                </c:pt>
              </c:numCache>
            </c:numRef>
          </c:xVal>
          <c:yVal>
            <c:numRef>
              <c:f>ANALISIS_GRANULOMETRICO!$IU$14:$IU$15</c:f>
              <c:numCache>
                <c:formatCode>0.000</c:formatCode>
                <c:ptCount val="2"/>
                <c:pt idx="0">
                  <c:v>0</c:v>
                </c:pt>
                <c:pt idx="1">
                  <c:v>100</c:v>
                </c:pt>
              </c:numCache>
            </c:numRef>
          </c:yVal>
          <c:smooth val="1"/>
        </c:ser>
        <c:dLbls>
          <c:showLegendKey val="0"/>
          <c:showVal val="0"/>
          <c:showCatName val="0"/>
          <c:showSerName val="0"/>
          <c:showPercent val="0"/>
          <c:showBubbleSize val="0"/>
        </c:dLbls>
        <c:axId val="220611424"/>
        <c:axId val="220615736"/>
      </c:scatterChart>
      <c:valAx>
        <c:axId val="220611424"/>
        <c:scaling>
          <c:logBase val="10"/>
          <c:orientation val="maxMin"/>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00" b="1" i="0" u="none" strike="noStrike" baseline="0">
                    <a:solidFill>
                      <a:srgbClr val="000000"/>
                    </a:solidFill>
                    <a:latin typeface="Arial"/>
                    <a:ea typeface="Arial"/>
                    <a:cs typeface="Arial"/>
                  </a:defRPr>
                </a:pPr>
                <a:r>
                  <a:rPr lang="es-CO"/>
                  <a:t>Diámetro de la Partícula (mm)</a:t>
                </a:r>
              </a:p>
            </c:rich>
          </c:tx>
          <c:layout>
            <c:manualLayout>
              <c:xMode val="edge"/>
              <c:yMode val="edge"/>
              <c:x val="0.38762214983713356"/>
              <c:y val="0.9093157840564046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20615736"/>
        <c:crosses val="autoZero"/>
        <c:crossBetween val="midCat"/>
      </c:valAx>
      <c:valAx>
        <c:axId val="220615736"/>
        <c:scaling>
          <c:orientation val="minMax"/>
          <c:max val="100"/>
          <c:min val="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s-CO"/>
                  <a:t>% que Pasa</a:t>
                </a:r>
              </a:p>
            </c:rich>
          </c:tx>
          <c:layout>
            <c:manualLayout>
              <c:xMode val="edge"/>
              <c:yMode val="edge"/>
              <c:x val="2.6058631921824105E-2"/>
              <c:y val="0.367647830785857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20611424"/>
        <c:crosses val="max"/>
        <c:crossBetween val="midCat"/>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CO"/>
              <a:t>CARTA DE PLASTICIDAD</a:t>
            </a:r>
          </a:p>
        </c:rich>
      </c:tx>
      <c:layout>
        <c:manualLayout>
          <c:xMode val="edge"/>
          <c:yMode val="edge"/>
          <c:x val="0.29921342509351689"/>
          <c:y val="1.937984496124031E-2"/>
        </c:manualLayout>
      </c:layout>
      <c:overlay val="0"/>
      <c:spPr>
        <a:noFill/>
        <a:ln w="25400">
          <a:noFill/>
        </a:ln>
      </c:spPr>
    </c:title>
    <c:autoTitleDeleted val="0"/>
    <c:plotArea>
      <c:layout>
        <c:manualLayout>
          <c:layoutTarget val="inner"/>
          <c:xMode val="edge"/>
          <c:yMode val="edge"/>
          <c:x val="0.28084061485147754"/>
          <c:y val="0.15116336287004478"/>
          <c:w val="0.62467351714627717"/>
          <c:h val="0.72868492870688251"/>
        </c:manualLayout>
      </c:layout>
      <c:scatterChart>
        <c:scatterStyle val="lineMarker"/>
        <c:varyColors val="0"/>
        <c:ser>
          <c:idx val="0"/>
          <c:order val="0"/>
          <c:spPr>
            <a:ln w="28575">
              <a:noFill/>
            </a:ln>
          </c:spPr>
          <c:marker>
            <c:symbol val="none"/>
          </c:marker>
          <c:xVal>
            <c:numRef>
              <c:f>LIMITES_ATTERBERG!$IK$11:$IK$21</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xVal>
          <c:yVal>
            <c:numRef>
              <c:f>LIMITES_ATTERBERG!$IL$11:$IL$21</c:f>
              <c:numCache>
                <c:formatCode>General</c:formatCode>
                <c:ptCount val="11"/>
                <c:pt idx="0">
                  <c:v>0</c:v>
                </c:pt>
                <c:pt idx="1">
                  <c:v>10</c:v>
                </c:pt>
                <c:pt idx="2">
                  <c:v>20</c:v>
                </c:pt>
                <c:pt idx="3">
                  <c:v>30</c:v>
                </c:pt>
                <c:pt idx="4">
                  <c:v>40</c:v>
                </c:pt>
                <c:pt idx="5">
                  <c:v>50</c:v>
                </c:pt>
                <c:pt idx="6">
                  <c:v>60</c:v>
                </c:pt>
                <c:pt idx="7">
                  <c:v>70</c:v>
                </c:pt>
                <c:pt idx="8">
                  <c:v>80</c:v>
                </c:pt>
                <c:pt idx="9">
                  <c:v>90</c:v>
                </c:pt>
                <c:pt idx="10">
                  <c:v>100</c:v>
                </c:pt>
              </c:numCache>
            </c:numRef>
          </c:yVal>
          <c:smooth val="0"/>
        </c:ser>
        <c:ser>
          <c:idx val="1"/>
          <c:order val="1"/>
          <c:tx>
            <c:v>Suelo</c:v>
          </c:tx>
          <c:spPr>
            <a:ln w="28575">
              <a:noFill/>
            </a:ln>
          </c:spPr>
          <c:marker>
            <c:symbol val="circle"/>
            <c:size val="4"/>
            <c:spPr>
              <a:solidFill>
                <a:srgbClr val="FF0000"/>
              </a:solidFill>
              <a:ln>
                <a:solidFill>
                  <a:srgbClr val="FF0000"/>
                </a:solidFill>
                <a:prstDash val="solid"/>
              </a:ln>
            </c:spPr>
          </c:marker>
          <c:xVal>
            <c:numRef>
              <c:f>LIMITES_ATTERBERG!$B$27</c:f>
              <c:numCache>
                <c:formatCode>0.000</c:formatCode>
                <c:ptCount val="1"/>
                <c:pt idx="0">
                  <c:v>22.016678515314133</c:v>
                </c:pt>
              </c:numCache>
            </c:numRef>
          </c:xVal>
          <c:yVal>
            <c:numRef>
              <c:f>LIMITES_ATTERBERG!$B$29</c:f>
              <c:numCache>
                <c:formatCode>0.000</c:formatCode>
                <c:ptCount val="1"/>
                <c:pt idx="0">
                  <c:v>8.2201524607235559</c:v>
                </c:pt>
              </c:numCache>
            </c:numRef>
          </c:yVal>
          <c:smooth val="0"/>
        </c:ser>
        <c:dLbls>
          <c:showLegendKey val="0"/>
          <c:showVal val="0"/>
          <c:showCatName val="0"/>
          <c:showSerName val="0"/>
          <c:showPercent val="0"/>
          <c:showBubbleSize val="0"/>
        </c:dLbls>
        <c:axId val="220613384"/>
        <c:axId val="220616128"/>
      </c:scatterChart>
      <c:valAx>
        <c:axId val="220613384"/>
        <c:scaling>
          <c:orientation val="minMax"/>
          <c:max val="100"/>
        </c:scaling>
        <c:delete val="0"/>
        <c:axPos val="b"/>
        <c:majorGridlines>
          <c:spPr>
            <a:ln w="3175">
              <a:solidFill>
                <a:srgbClr val="C0C0C0"/>
              </a:solidFill>
              <a:prstDash val="solid"/>
            </a:ln>
          </c:spPr>
        </c:majorGridlines>
        <c:title>
          <c:tx>
            <c:rich>
              <a:bodyPr/>
              <a:lstStyle/>
              <a:p>
                <a:pPr>
                  <a:defRPr sz="650" b="1" i="0" u="none" strike="noStrike" baseline="0">
                    <a:solidFill>
                      <a:srgbClr val="000000"/>
                    </a:solidFill>
                    <a:latin typeface="Arial"/>
                    <a:ea typeface="Arial"/>
                    <a:cs typeface="Arial"/>
                  </a:defRPr>
                </a:pPr>
                <a:r>
                  <a:rPr lang="es-CO"/>
                  <a:t>Límite Líquido</a:t>
                </a:r>
              </a:p>
            </c:rich>
          </c:tx>
          <c:layout>
            <c:manualLayout>
              <c:xMode val="edge"/>
              <c:yMode val="edge"/>
              <c:x val="1.3123359580052493E-2"/>
              <c:y val="0.903104030600826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20616128"/>
        <c:crosses val="autoZero"/>
        <c:crossBetween val="midCat"/>
        <c:majorUnit val="10"/>
      </c:valAx>
      <c:valAx>
        <c:axId val="220616128"/>
        <c:scaling>
          <c:orientation val="minMax"/>
          <c:max val="100"/>
        </c:scaling>
        <c:delete val="0"/>
        <c:axPos val="l"/>
        <c:majorGridlines>
          <c:spPr>
            <a:ln w="3175">
              <a:solidFill>
                <a:srgbClr val="C0C0C0"/>
              </a:solidFill>
              <a:prstDash val="solid"/>
            </a:ln>
          </c:spPr>
        </c:majorGridlines>
        <c:title>
          <c:tx>
            <c:rich>
              <a:bodyPr/>
              <a:lstStyle/>
              <a:p>
                <a:pPr>
                  <a:defRPr sz="700" b="1" i="0" u="none" strike="noStrike" baseline="0">
                    <a:solidFill>
                      <a:srgbClr val="000000"/>
                    </a:solidFill>
                    <a:latin typeface="Arial"/>
                    <a:ea typeface="Arial"/>
                    <a:cs typeface="Arial"/>
                  </a:defRPr>
                </a:pPr>
                <a:r>
                  <a:rPr lang="es-CO"/>
                  <a:t>Indice de Plasticidad</a:t>
                </a:r>
              </a:p>
            </c:rich>
          </c:tx>
          <c:layout>
            <c:manualLayout>
              <c:xMode val="edge"/>
              <c:yMode val="edge"/>
              <c:x val="8.1365104952432127E-2"/>
              <c:y val="0.306202771165232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220613384"/>
        <c:crosses val="autoZero"/>
        <c:crossBetween val="midCat"/>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horizontalDpi="0" verticalDpi="0" copies="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xdr:row>
      <xdr:rowOff>171450</xdr:rowOff>
    </xdr:from>
    <xdr:to>
      <xdr:col>6</xdr:col>
      <xdr:colOff>1019175</xdr:colOff>
      <xdr:row>26</xdr:row>
      <xdr:rowOff>0</xdr:rowOff>
    </xdr:to>
    <xdr:graphicFrame macro="">
      <xdr:nvGraphicFramePr>
        <xdr:cNvPr id="837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552450</xdr:colOff>
      <xdr:row>2</xdr:row>
      <xdr:rowOff>47625</xdr:rowOff>
    </xdr:from>
    <xdr:to>
      <xdr:col>2</xdr:col>
      <xdr:colOff>819150</xdr:colOff>
      <xdr:row>3</xdr:row>
      <xdr:rowOff>66675</xdr:rowOff>
    </xdr:to>
    <xdr:sp macro="" textlink="">
      <xdr:nvSpPr>
        <xdr:cNvPr id="8231" name="Text Box 39"/>
        <xdr:cNvSpPr txBox="1">
          <a:spLocks noChangeArrowheads="1"/>
        </xdr:cNvSpPr>
      </xdr:nvSpPr>
      <xdr:spPr bwMode="auto">
        <a:xfrm>
          <a:off x="2457450" y="476250"/>
          <a:ext cx="26670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CO" sz="900" b="1" i="0" u="none" strike="noStrike" baseline="0">
              <a:solidFill>
                <a:srgbClr val="3366FF"/>
              </a:solidFill>
              <a:latin typeface="Arial"/>
              <a:cs typeface="Arial"/>
            </a:rPr>
            <a:t># 4</a:t>
          </a:r>
        </a:p>
      </xdr:txBody>
    </xdr:sp>
    <xdr:clientData/>
  </xdr:twoCellAnchor>
  <xdr:twoCellAnchor>
    <xdr:from>
      <xdr:col>5</xdr:col>
      <xdr:colOff>247650</xdr:colOff>
      <xdr:row>2</xdr:row>
      <xdr:rowOff>47625</xdr:rowOff>
    </xdr:from>
    <xdr:to>
      <xdr:col>5</xdr:col>
      <xdr:colOff>647700</xdr:colOff>
      <xdr:row>3</xdr:row>
      <xdr:rowOff>66675</xdr:rowOff>
    </xdr:to>
    <xdr:sp macro="" textlink="">
      <xdr:nvSpPr>
        <xdr:cNvPr id="8232" name="Text Box 40"/>
        <xdr:cNvSpPr txBox="1">
          <a:spLocks noChangeArrowheads="1"/>
        </xdr:cNvSpPr>
      </xdr:nvSpPr>
      <xdr:spPr bwMode="auto">
        <a:xfrm>
          <a:off x="4619625" y="476250"/>
          <a:ext cx="40005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CO" sz="900" b="1" i="0" u="none" strike="noStrike" baseline="0">
              <a:solidFill>
                <a:srgbClr val="3366FF"/>
              </a:solidFill>
              <a:latin typeface="Arial"/>
              <a:cs typeface="Arial"/>
            </a:rPr>
            <a:t># 200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22</xdr:row>
      <xdr:rowOff>38100</xdr:rowOff>
    </xdr:from>
    <xdr:to>
      <xdr:col>4</xdr:col>
      <xdr:colOff>1200150</xdr:colOff>
      <xdr:row>31</xdr:row>
      <xdr:rowOff>123825</xdr:rowOff>
    </xdr:to>
    <xdr:grpSp>
      <xdr:nvGrpSpPr>
        <xdr:cNvPr id="7544" name="Group 35"/>
        <xdr:cNvGrpSpPr>
          <a:grpSpLocks/>
        </xdr:cNvGrpSpPr>
      </xdr:nvGrpSpPr>
      <xdr:grpSpPr bwMode="auto">
        <a:xfrm>
          <a:off x="2819400" y="4105275"/>
          <a:ext cx="3629025" cy="2457450"/>
          <a:chOff x="296" y="429"/>
          <a:chExt cx="381" cy="258"/>
        </a:xfrm>
      </xdr:grpSpPr>
      <xdr:graphicFrame macro="">
        <xdr:nvGraphicFramePr>
          <xdr:cNvPr id="7545" name="Gráfico 28"/>
          <xdr:cNvGraphicFramePr>
            <a:graphicFrameLocks/>
          </xdr:cNvGraphicFramePr>
        </xdr:nvGraphicFramePr>
        <xdr:xfrm>
          <a:off x="296" y="429"/>
          <a:ext cx="381" cy="25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546" name="Line 29"/>
          <xdr:cNvSpPr>
            <a:spLocks noChangeShapeType="1"/>
          </xdr:cNvSpPr>
        </xdr:nvSpPr>
        <xdr:spPr bwMode="auto">
          <a:xfrm flipV="1">
            <a:off x="427" y="487"/>
            <a:ext cx="214" cy="1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47" name="Line 30"/>
          <xdr:cNvSpPr>
            <a:spLocks noChangeShapeType="1"/>
          </xdr:cNvSpPr>
        </xdr:nvSpPr>
        <xdr:spPr bwMode="auto">
          <a:xfrm flipV="1">
            <a:off x="450" y="532"/>
            <a:ext cx="190" cy="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548" name="Line 32"/>
          <xdr:cNvSpPr>
            <a:spLocks noChangeShapeType="1"/>
          </xdr:cNvSpPr>
        </xdr:nvSpPr>
        <xdr:spPr bwMode="auto">
          <a:xfrm flipV="1">
            <a:off x="522" y="467"/>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01" name="Texto 13"/>
          <xdr:cNvSpPr txBox="1">
            <a:spLocks noChangeArrowheads="1"/>
          </xdr:cNvSpPr>
        </xdr:nvSpPr>
        <xdr:spPr bwMode="auto">
          <a:xfrm>
            <a:off x="503" y="603"/>
            <a:ext cx="17" cy="1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es-CO" sz="600" b="1" i="0" u="none" strike="noStrike" baseline="0">
                <a:solidFill>
                  <a:srgbClr val="000000"/>
                </a:solidFill>
                <a:latin typeface="Arial"/>
                <a:cs typeface="Arial"/>
              </a:rPr>
              <a:t>CL</a:t>
            </a:r>
          </a:p>
        </xdr:txBody>
      </xdr:sp>
      <xdr:sp macro="" textlink="">
        <xdr:nvSpPr>
          <xdr:cNvPr id="7550" name="Line 34"/>
          <xdr:cNvSpPr>
            <a:spLocks noChangeShapeType="1"/>
          </xdr:cNvSpPr>
        </xdr:nvSpPr>
        <xdr:spPr bwMode="auto">
          <a:xfrm>
            <a:off x="436" y="628"/>
            <a:ext cx="0" cy="1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c:userShapes xmlns:c="http://schemas.openxmlformats.org/drawingml/2006/chart">
  <cdr:relSizeAnchor xmlns:cdr="http://schemas.openxmlformats.org/drawingml/2006/chartDrawing">
    <cdr:from>
      <cdr:x>0.3549</cdr:x>
      <cdr:y>0.82639</cdr:y>
    </cdr:from>
    <cdr:to>
      <cdr:x>0.45399</cdr:x>
      <cdr:y>0.85523</cdr:y>
    </cdr:to>
    <cdr:sp macro="" textlink="">
      <cdr:nvSpPr>
        <cdr:cNvPr id="23553" name="Dibujo 5"/>
        <cdr:cNvSpPr>
          <a:spLocks xmlns:a="http://schemas.openxmlformats.org/drawingml/2006/main"/>
        </cdr:cNvSpPr>
      </cdr:nvSpPr>
      <cdr:spPr bwMode="auto">
        <a:xfrm xmlns:a="http://schemas.openxmlformats.org/drawingml/2006/main">
          <a:off x="1294498" y="2041863"/>
          <a:ext cx="360531" cy="71152"/>
        </a:xfrm>
        <a:custGeom xmlns:a="http://schemas.openxmlformats.org/drawingml/2006/main">
          <a:avLst/>
          <a:gdLst>
            <a:gd name="T0" fmla="*/ 12372 w 16384"/>
            <a:gd name="T1" fmla="*/ 16384 h 16384"/>
            <a:gd name="T2" fmla="*/ 0 w 16384"/>
            <a:gd name="T3" fmla="*/ 16384 h 16384"/>
            <a:gd name="T4" fmla="*/ 0 w 16384"/>
            <a:gd name="T5" fmla="*/ 0 h 16384"/>
            <a:gd name="T6" fmla="*/ 16384 w 16384"/>
            <a:gd name="T7" fmla="*/ 0 h 16384"/>
            <a:gd name="T8" fmla="*/ 12372 w 16384"/>
            <a:gd name="T9" fmla="*/ 16384 h 16384"/>
          </a:gdLst>
          <a:ahLst/>
          <a:cxnLst>
            <a:cxn ang="0">
              <a:pos x="T0" y="T1"/>
            </a:cxn>
            <a:cxn ang="0">
              <a:pos x="T2" y="T3"/>
            </a:cxn>
            <a:cxn ang="0">
              <a:pos x="T4" y="T5"/>
            </a:cxn>
            <a:cxn ang="0">
              <a:pos x="T6" y="T7"/>
            </a:cxn>
            <a:cxn ang="0">
              <a:pos x="T8" y="T9"/>
            </a:cxn>
          </a:cxnLst>
          <a:rect l="0" t="0" r="r" b="b"/>
          <a:pathLst>
            <a:path w="16384" h="16384">
              <a:moveTo>
                <a:pt x="12372" y="16384"/>
              </a:moveTo>
              <a:lnTo>
                <a:pt x="0" y="16384"/>
              </a:lnTo>
              <a:lnTo>
                <a:pt x="0" y="0"/>
              </a:lnTo>
              <a:lnTo>
                <a:pt x="16384" y="0"/>
              </a:lnTo>
              <a:lnTo>
                <a:pt x="12372" y="16384"/>
              </a:lnTo>
              <a:close/>
            </a:path>
          </a:pathLst>
        </a:custGeom>
        <a:pattFill xmlns:a="http://schemas.openxmlformats.org/drawingml/2006/main"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xmlns:a="http://schemas.openxmlformats.org/drawingml/2006/main" w="9525">
          <a:solidFill>
            <a:srgbClr xmlns:mc="http://schemas.openxmlformats.org/markup-compatibility/2006" xmlns:a14="http://schemas.microsoft.com/office/drawing/2010/main" val="000000" mc:Ignorable="a14" a14:legacySpreadsheetColorIndex="64"/>
          </a:solidFill>
          <a:prstDash val="solid"/>
          <a:round/>
          <a:headEnd/>
          <a:tailEnd/>
        </a:ln>
      </cdr:spPr>
      <cdr:txBody>
        <a:bodyPr xmlns:a="http://schemas.openxmlformats.org/drawingml/2006/main"/>
        <a:lstStyle xmlns:a="http://schemas.openxmlformats.org/drawingml/2006/main"/>
        <a:p xmlns:a="http://schemas.openxmlformats.org/drawingml/2006/main">
          <a:endParaRPr lang="es-CO"/>
        </a:p>
      </cdr:txBody>
    </cdr:sp>
  </cdr:relSizeAnchor>
  <cdr:relSizeAnchor xmlns:cdr="http://schemas.openxmlformats.org/drawingml/2006/chartDrawing">
    <cdr:from>
      <cdr:x>0.72566</cdr:x>
      <cdr:y>0.74597</cdr:y>
    </cdr:from>
    <cdr:to>
      <cdr:x>0.82771</cdr:x>
      <cdr:y>0.79698</cdr:y>
    </cdr:to>
    <cdr:sp macro="" textlink="">
      <cdr:nvSpPr>
        <cdr:cNvPr id="23554" name="Texto 12"/>
        <cdr:cNvSpPr txBox="1">
          <a:spLocks xmlns:a="http://schemas.openxmlformats.org/drawingml/2006/main" noChangeArrowheads="1"/>
        </cdr:cNvSpPr>
      </cdr:nvSpPr>
      <cdr:spPr bwMode="auto">
        <a:xfrm xmlns:a="http://schemas.openxmlformats.org/drawingml/2006/main">
          <a:off x="2633431" y="1833184"/>
          <a:ext cx="370358" cy="125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CO" sz="600" b="1" i="0" u="none" strike="noStrike" baseline="0">
              <a:solidFill>
                <a:srgbClr val="000000"/>
              </a:solidFill>
              <a:latin typeface="Arial"/>
              <a:cs typeface="Arial"/>
            </a:rPr>
            <a:t>MH &amp; OH</a:t>
          </a:r>
        </a:p>
      </cdr:txBody>
    </cdr:sp>
  </cdr:relSizeAnchor>
  <cdr:relSizeAnchor xmlns:cdr="http://schemas.openxmlformats.org/drawingml/2006/chartDrawing">
    <cdr:from>
      <cdr:x>0.47557</cdr:x>
      <cdr:y>0.81495</cdr:y>
    </cdr:from>
    <cdr:to>
      <cdr:x>0.57288</cdr:x>
      <cdr:y>0.86596</cdr:y>
    </cdr:to>
    <cdr:sp macro="" textlink="">
      <cdr:nvSpPr>
        <cdr:cNvPr id="23555" name="Texto 11"/>
        <cdr:cNvSpPr txBox="1">
          <a:spLocks xmlns:a="http://schemas.openxmlformats.org/drawingml/2006/main" noChangeArrowheads="1"/>
        </cdr:cNvSpPr>
      </cdr:nvSpPr>
      <cdr:spPr bwMode="auto">
        <a:xfrm xmlns:a="http://schemas.openxmlformats.org/drawingml/2006/main">
          <a:off x="1725839" y="2002699"/>
          <a:ext cx="353174" cy="125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CO" sz="600" b="1" i="0" u="none" strike="noStrike" baseline="0">
              <a:solidFill>
                <a:srgbClr val="000000"/>
              </a:solidFill>
              <a:latin typeface="Arial"/>
              <a:cs typeface="Arial"/>
            </a:rPr>
            <a:t>ML &amp; OL</a:t>
          </a:r>
        </a:p>
      </cdr:txBody>
    </cdr:sp>
  </cdr:relSizeAnchor>
  <cdr:relSizeAnchor xmlns:cdr="http://schemas.openxmlformats.org/drawingml/2006/chartDrawing">
    <cdr:from>
      <cdr:x>0.70881</cdr:x>
      <cdr:y>0.46308</cdr:y>
    </cdr:from>
    <cdr:to>
      <cdr:x>0.74962</cdr:x>
      <cdr:y>0.51409</cdr:y>
    </cdr:to>
    <cdr:sp macro="" textlink="">
      <cdr:nvSpPr>
        <cdr:cNvPr id="23556" name="Texto 14"/>
        <cdr:cNvSpPr txBox="1">
          <a:spLocks xmlns:a="http://schemas.openxmlformats.org/drawingml/2006/main" noChangeArrowheads="1"/>
        </cdr:cNvSpPr>
      </cdr:nvSpPr>
      <cdr:spPr bwMode="auto">
        <a:xfrm xmlns:a="http://schemas.openxmlformats.org/drawingml/2006/main">
          <a:off x="2572281" y="1137996"/>
          <a:ext cx="148117" cy="125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CO" sz="600" b="1" i="0" u="none" strike="noStrike" baseline="0">
              <a:solidFill>
                <a:srgbClr val="000000"/>
              </a:solidFill>
              <a:latin typeface="Arial"/>
              <a:cs typeface="Arial"/>
            </a:rPr>
            <a:t>CH</a:t>
          </a:r>
        </a:p>
      </cdr:txBody>
    </cdr:sp>
  </cdr:relSizeAnchor>
  <cdr:relSizeAnchor xmlns:cdr="http://schemas.openxmlformats.org/drawingml/2006/chartDrawing">
    <cdr:from>
      <cdr:x>0.30559</cdr:x>
      <cdr:y>0.72722</cdr:y>
    </cdr:from>
    <cdr:to>
      <cdr:x>0.3935</cdr:x>
      <cdr:y>0.77823</cdr:y>
    </cdr:to>
    <cdr:sp macro="" textlink="">
      <cdr:nvSpPr>
        <cdr:cNvPr id="23557" name="Texto 9"/>
        <cdr:cNvSpPr txBox="1">
          <a:spLocks xmlns:a="http://schemas.openxmlformats.org/drawingml/2006/main" noChangeArrowheads="1"/>
        </cdr:cNvSpPr>
      </cdr:nvSpPr>
      <cdr:spPr bwMode="auto">
        <a:xfrm xmlns:a="http://schemas.openxmlformats.org/drawingml/2006/main">
          <a:off x="1109008" y="1787107"/>
          <a:ext cx="318998" cy="125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CO" sz="600" b="1" i="0" u="none" strike="noStrike" baseline="0">
              <a:solidFill>
                <a:srgbClr val="000000"/>
              </a:solidFill>
              <a:latin typeface="Arial"/>
              <a:cs typeface="Arial"/>
            </a:rPr>
            <a:t>CL - ML</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IU65536"/>
  <sheetViews>
    <sheetView tabSelected="1" zoomScale="90" zoomScaleNormal="90" workbookViewId="0">
      <selection sqref="A1:E1"/>
    </sheetView>
  </sheetViews>
  <sheetFormatPr baseColWidth="10" defaultRowHeight="12.75" x14ac:dyDescent="0.2"/>
  <cols>
    <col min="1" max="1" width="18" customWidth="1"/>
    <col min="2" max="2" width="20" customWidth="1"/>
    <col min="3" max="5" width="18" customWidth="1"/>
    <col min="250" max="250" width="15.28515625" customWidth="1"/>
    <col min="251" max="251" width="44.5703125" customWidth="1"/>
  </cols>
  <sheetData>
    <row r="1" spans="1:255" ht="21" thickBot="1" x14ac:dyDescent="0.35">
      <c r="A1" s="148" t="s">
        <v>34</v>
      </c>
      <c r="B1" s="149"/>
      <c r="C1" s="149"/>
      <c r="D1" s="149"/>
      <c r="E1" s="150"/>
      <c r="F1" s="151"/>
      <c r="G1" s="151"/>
      <c r="H1" s="151"/>
      <c r="I1" s="151"/>
      <c r="J1" s="151"/>
      <c r="K1" s="151"/>
      <c r="IT1" s="8">
        <v>2</v>
      </c>
      <c r="IU1" s="10">
        <v>50.8</v>
      </c>
    </row>
    <row r="2" spans="1:255" ht="15" x14ac:dyDescent="0.2">
      <c r="A2" s="32" t="s">
        <v>94</v>
      </c>
      <c r="B2" s="33"/>
      <c r="C2" s="34" t="s">
        <v>95</v>
      </c>
      <c r="D2" s="35"/>
      <c r="E2" s="35"/>
      <c r="F2" s="2"/>
      <c r="IT2" s="8">
        <v>1</v>
      </c>
      <c r="IU2" s="10">
        <v>25.4</v>
      </c>
    </row>
    <row r="3" spans="1:255" x14ac:dyDescent="0.2">
      <c r="A3" s="36"/>
      <c r="B3" s="36"/>
      <c r="C3" s="36"/>
      <c r="D3" s="36"/>
      <c r="E3" s="36"/>
      <c r="IT3" s="9" t="s">
        <v>47</v>
      </c>
      <c r="IU3" s="10">
        <v>19.100000000000001</v>
      </c>
    </row>
    <row r="4" spans="1:255" ht="15" x14ac:dyDescent="0.25">
      <c r="A4" s="37" t="s">
        <v>35</v>
      </c>
      <c r="B4" s="36"/>
      <c r="C4" s="36"/>
      <c r="D4" s="36"/>
      <c r="E4" s="36"/>
      <c r="IT4" s="9" t="s">
        <v>48</v>
      </c>
      <c r="IU4" s="10">
        <v>12.7</v>
      </c>
    </row>
    <row r="5" spans="1:255" ht="13.5" thickBot="1" x14ac:dyDescent="0.25">
      <c r="A5" s="36"/>
      <c r="B5" s="36"/>
      <c r="C5" s="36"/>
      <c r="D5" s="36"/>
      <c r="E5" s="36"/>
      <c r="IT5" s="9" t="s">
        <v>49</v>
      </c>
      <c r="IU5" s="10">
        <v>9.52</v>
      </c>
    </row>
    <row r="6" spans="1:255" ht="15" customHeight="1" thickBot="1" x14ac:dyDescent="0.25">
      <c r="A6" s="38" t="s">
        <v>36</v>
      </c>
      <c r="B6" s="39"/>
      <c r="C6" s="40"/>
      <c r="D6" s="22">
        <v>1432</v>
      </c>
      <c r="E6" s="36"/>
      <c r="IT6" s="8">
        <v>4</v>
      </c>
      <c r="IU6" s="10">
        <v>4.76</v>
      </c>
    </row>
    <row r="7" spans="1:255" ht="15" customHeight="1" thickBot="1" x14ac:dyDescent="0.3">
      <c r="A7" s="38" t="s">
        <v>37</v>
      </c>
      <c r="B7" s="39"/>
      <c r="C7" s="40"/>
      <c r="D7" s="22">
        <v>118</v>
      </c>
      <c r="E7" s="36"/>
      <c r="IC7" s="133" t="s">
        <v>112</v>
      </c>
      <c r="ID7" s="133" t="s">
        <v>113</v>
      </c>
      <c r="IE7" s="133" t="s">
        <v>114</v>
      </c>
      <c r="IF7" s="133" t="s">
        <v>115</v>
      </c>
      <c r="IG7" s="133">
        <v>10</v>
      </c>
      <c r="IH7" s="133">
        <v>30</v>
      </c>
      <c r="II7" s="133">
        <v>60</v>
      </c>
      <c r="IJ7" s="134" t="s">
        <v>89</v>
      </c>
      <c r="IK7" s="134" t="s">
        <v>116</v>
      </c>
      <c r="IL7" s="134" t="s">
        <v>117</v>
      </c>
      <c r="IM7" s="134" t="s">
        <v>118</v>
      </c>
      <c r="IN7" s="134" t="s">
        <v>119</v>
      </c>
      <c r="IT7" s="8">
        <v>10</v>
      </c>
      <c r="IU7" s="10">
        <v>2</v>
      </c>
    </row>
    <row r="8" spans="1:255" ht="15" customHeight="1" thickBot="1" x14ac:dyDescent="0.25">
      <c r="A8" s="38" t="s">
        <v>38</v>
      </c>
      <c r="B8" s="39"/>
      <c r="C8" s="40"/>
      <c r="D8" s="122">
        <f>ROUND(D6-D7,3)</f>
        <v>1314</v>
      </c>
      <c r="E8" s="36"/>
      <c r="IC8" s="135">
        <f t="shared" ref="IC8:IC17" si="0">IP13</f>
        <v>0</v>
      </c>
      <c r="ID8" s="135">
        <f t="shared" ref="ID8:ID17" si="1">IP14</f>
        <v>7.3999999999999996E-2</v>
      </c>
      <c r="IE8" s="135">
        <f t="shared" ref="IE8:IE17" si="2">IQ13</f>
        <v>-8.4376949871511897E-15</v>
      </c>
      <c r="IF8" s="135">
        <f t="shared" ref="IF8:IF17" si="3">IQ14</f>
        <v>1.6582952815829444</v>
      </c>
      <c r="IG8" s="138">
        <f>IF(AND($IG$7&gt;=IE8,$IG$7&lt;=IF8),1,0)</f>
        <v>0</v>
      </c>
      <c r="IH8" s="138">
        <f>IF(AND($IH$7&gt;=IE8,$IH$7&lt;=IF8),1,0)</f>
        <v>0</v>
      </c>
      <c r="II8" s="138">
        <f>IF(AND($II$7&gt;=IE8,$II$7&lt;=IF8),1,0)</f>
        <v>0</v>
      </c>
      <c r="IJ8" s="141">
        <f>IF(OR(IG8=1,IH8=1,II8=1),(IF8-IE8)/(ID8-IC8),0)</f>
        <v>0</v>
      </c>
      <c r="IK8" s="141">
        <f>IF(OR(IG8=1,IH8=1,II8=1),IF8-(IJ8*ID8),0)</f>
        <v>0</v>
      </c>
      <c r="IL8" s="141">
        <f>IF(IG8=1,(10-IK8)/IJ8,0)</f>
        <v>0</v>
      </c>
      <c r="IM8" s="141">
        <f>IF(IH8=1,(30-IK8)/IJ8,0)</f>
        <v>0</v>
      </c>
      <c r="IN8" s="141">
        <f>IF(II8=1,(60-IK8)/IJ8,0)</f>
        <v>0</v>
      </c>
      <c r="IT8" s="8">
        <v>20</v>
      </c>
      <c r="IU8" s="10">
        <v>0.84</v>
      </c>
    </row>
    <row r="9" spans="1:255" ht="15" customHeight="1" x14ac:dyDescent="0.2">
      <c r="A9" s="41"/>
      <c r="B9" s="41"/>
      <c r="C9" s="41"/>
      <c r="D9" s="42"/>
      <c r="E9" s="36"/>
      <c r="IC9" s="136">
        <f t="shared" si="0"/>
        <v>7.3999999999999996E-2</v>
      </c>
      <c r="ID9" s="136">
        <f t="shared" si="1"/>
        <v>0.42</v>
      </c>
      <c r="IE9" s="136">
        <f t="shared" si="2"/>
        <v>1.6582952815829444</v>
      </c>
      <c r="IF9" s="136">
        <f t="shared" si="3"/>
        <v>10.197108066971072</v>
      </c>
      <c r="IG9" s="139">
        <f t="shared" ref="IG9:IG17" si="4">IF(AND($IG$7&gt;=IE9,$IG$7&lt;=IF9),1,0)</f>
        <v>1</v>
      </c>
      <c r="IH9" s="139">
        <f t="shared" ref="IH9:IH17" si="5">IF(AND($IH$7&gt;=IE9,$IH$7&lt;=IF9),1,0)</f>
        <v>0</v>
      </c>
      <c r="II9" s="139">
        <f t="shared" ref="II9:II17" si="6">IF(AND($II$7&gt;=IE9,$II$7&lt;=IF9),1,0)</f>
        <v>0</v>
      </c>
      <c r="IJ9" s="142">
        <f t="shared" ref="IJ9:IJ17" si="7">IF(OR(IG9=1,IH9=1,II9=1),(IF9-IE9)/(ID9-IC9),0)</f>
        <v>24.678649668751817</v>
      </c>
      <c r="IK9" s="142">
        <f t="shared" ref="IK9:IK17" si="8">IF(OR(IG9=1,IH9=1,II9=1),IF9-(IJ9*ID9),0)</f>
        <v>-0.16792479390469062</v>
      </c>
      <c r="IL9" s="142">
        <f t="shared" ref="IL9:IL17" si="9">IF(IG9=1,(10-IK9)/IJ9,0)</f>
        <v>0.41201301247771871</v>
      </c>
      <c r="IM9" s="142">
        <f t="shared" ref="IM9:IM17" si="10">IF(IH9=1,(30-IK9)/IJ9,0)</f>
        <v>0</v>
      </c>
      <c r="IN9" s="142">
        <f t="shared" ref="IN9:IN17" si="11">IF(II9=1,(60-IK9)/IJ9,0)</f>
        <v>0</v>
      </c>
      <c r="IT9" s="8">
        <v>40</v>
      </c>
      <c r="IU9" s="10">
        <v>0.42</v>
      </c>
    </row>
    <row r="10" spans="1:255" ht="15" customHeight="1" x14ac:dyDescent="0.25">
      <c r="A10" s="43" t="s">
        <v>39</v>
      </c>
      <c r="B10" s="36"/>
      <c r="C10" s="36"/>
      <c r="D10" s="36"/>
      <c r="E10" s="36"/>
      <c r="IC10" s="136">
        <f t="shared" si="0"/>
        <v>0.42</v>
      </c>
      <c r="ID10" s="136">
        <f t="shared" si="1"/>
        <v>0.84</v>
      </c>
      <c r="IE10" s="136">
        <f t="shared" si="2"/>
        <v>10.197108066971072</v>
      </c>
      <c r="IF10" s="136">
        <f t="shared" si="3"/>
        <v>15.006849315068486</v>
      </c>
      <c r="IG10" s="139">
        <f t="shared" si="4"/>
        <v>0</v>
      </c>
      <c r="IH10" s="139">
        <f t="shared" si="5"/>
        <v>0</v>
      </c>
      <c r="II10" s="139">
        <f t="shared" si="6"/>
        <v>0</v>
      </c>
      <c r="IJ10" s="142">
        <f t="shared" si="7"/>
        <v>0</v>
      </c>
      <c r="IK10" s="142">
        <f t="shared" si="8"/>
        <v>0</v>
      </c>
      <c r="IL10" s="142">
        <f t="shared" si="9"/>
        <v>0</v>
      </c>
      <c r="IM10" s="142">
        <f t="shared" si="10"/>
        <v>0</v>
      </c>
      <c r="IN10" s="142">
        <f t="shared" si="11"/>
        <v>0</v>
      </c>
      <c r="IT10" s="8">
        <v>200</v>
      </c>
      <c r="IU10" s="10">
        <v>7.3999999999999996E-2</v>
      </c>
    </row>
    <row r="11" spans="1:255" ht="15" customHeight="1" thickBot="1" x14ac:dyDescent="0.25">
      <c r="A11" s="36"/>
      <c r="B11" s="36"/>
      <c r="C11" s="36"/>
      <c r="D11" s="36"/>
      <c r="E11" s="36"/>
      <c r="IC11" s="136">
        <f t="shared" si="0"/>
        <v>0.84</v>
      </c>
      <c r="ID11" s="136">
        <f t="shared" si="1"/>
        <v>2</v>
      </c>
      <c r="IE11" s="136">
        <f t="shared" si="2"/>
        <v>15.006849315068486</v>
      </c>
      <c r="IF11" s="136">
        <f t="shared" si="3"/>
        <v>21.483257229832564</v>
      </c>
      <c r="IG11" s="139">
        <f t="shared" si="4"/>
        <v>0</v>
      </c>
      <c r="IH11" s="139">
        <f t="shared" si="5"/>
        <v>0</v>
      </c>
      <c r="II11" s="139">
        <f t="shared" si="6"/>
        <v>0</v>
      </c>
      <c r="IJ11" s="142">
        <f t="shared" si="7"/>
        <v>0</v>
      </c>
      <c r="IK11" s="142">
        <f t="shared" si="8"/>
        <v>0</v>
      </c>
      <c r="IL11" s="142">
        <f t="shared" si="9"/>
        <v>0</v>
      </c>
      <c r="IM11" s="142">
        <f t="shared" si="10"/>
        <v>0</v>
      </c>
      <c r="IN11" s="142">
        <f t="shared" si="11"/>
        <v>0</v>
      </c>
      <c r="IT11" s="8" t="s">
        <v>45</v>
      </c>
      <c r="IU11" s="10">
        <v>0</v>
      </c>
    </row>
    <row r="12" spans="1:255" ht="33" customHeight="1" thickBot="1" x14ac:dyDescent="0.25">
      <c r="A12" s="30" t="s">
        <v>40</v>
      </c>
      <c r="B12" s="30" t="s">
        <v>41</v>
      </c>
      <c r="C12" s="44" t="s">
        <v>42</v>
      </c>
      <c r="D12" s="30" t="s">
        <v>43</v>
      </c>
      <c r="E12" s="30" t="s">
        <v>44</v>
      </c>
      <c r="IC12" s="136">
        <f t="shared" si="0"/>
        <v>2</v>
      </c>
      <c r="ID12" s="136">
        <f t="shared" si="1"/>
        <v>4.76</v>
      </c>
      <c r="IE12" s="136">
        <f t="shared" si="2"/>
        <v>21.483257229832564</v>
      </c>
      <c r="IF12" s="136">
        <f t="shared" si="3"/>
        <v>25.30441400304413</v>
      </c>
      <c r="IG12" s="139">
        <f t="shared" si="4"/>
        <v>0</v>
      </c>
      <c r="IH12" s="139">
        <f t="shared" si="5"/>
        <v>0</v>
      </c>
      <c r="II12" s="139">
        <f t="shared" si="6"/>
        <v>0</v>
      </c>
      <c r="IJ12" s="142">
        <f t="shared" si="7"/>
        <v>0</v>
      </c>
      <c r="IK12" s="142">
        <f t="shared" si="8"/>
        <v>0</v>
      </c>
      <c r="IL12" s="142">
        <f t="shared" si="9"/>
        <v>0</v>
      </c>
      <c r="IM12" s="142">
        <f t="shared" si="10"/>
        <v>0</v>
      </c>
      <c r="IN12" s="142">
        <f t="shared" si="11"/>
        <v>0</v>
      </c>
      <c r="IP12" t="s">
        <v>77</v>
      </c>
      <c r="IQ12" t="s">
        <v>78</v>
      </c>
    </row>
    <row r="13" spans="1:255" ht="18" customHeight="1" x14ac:dyDescent="0.2">
      <c r="A13" s="45">
        <f>IT1</f>
        <v>2</v>
      </c>
      <c r="B13" s="126">
        <f>IU1</f>
        <v>50.8</v>
      </c>
      <c r="C13" s="123">
        <v>0</v>
      </c>
      <c r="D13" s="126">
        <f>IF(OR($D$8=0,C13=""),"-",C13/$D$8*100)</f>
        <v>0</v>
      </c>
      <c r="E13" s="126">
        <f>IF(D13="-","-",100-D13)</f>
        <v>100</v>
      </c>
      <c r="IC13" s="136">
        <f t="shared" si="0"/>
        <v>4.76</v>
      </c>
      <c r="ID13" s="136">
        <f t="shared" si="1"/>
        <v>9.52</v>
      </c>
      <c r="IE13" s="136">
        <f t="shared" si="2"/>
        <v>25.30441400304413</v>
      </c>
      <c r="IF13" s="136">
        <f t="shared" si="3"/>
        <v>68.576864535768635</v>
      </c>
      <c r="IG13" s="139">
        <f t="shared" si="4"/>
        <v>0</v>
      </c>
      <c r="IH13" s="139">
        <f t="shared" si="5"/>
        <v>1</v>
      </c>
      <c r="II13" s="139">
        <f t="shared" si="6"/>
        <v>1</v>
      </c>
      <c r="IJ13" s="142">
        <f t="shared" si="7"/>
        <v>9.0908509522530476</v>
      </c>
      <c r="IK13" s="142">
        <f t="shared" si="8"/>
        <v>-17.968036529680376</v>
      </c>
      <c r="IL13" s="142">
        <f t="shared" si="9"/>
        <v>0</v>
      </c>
      <c r="IM13" s="142">
        <f t="shared" si="10"/>
        <v>5.2765177629264874</v>
      </c>
      <c r="IN13" s="142">
        <f t="shared" si="11"/>
        <v>8.5765388673935998</v>
      </c>
      <c r="IP13" s="6">
        <f>(B23)</f>
        <v>0</v>
      </c>
      <c r="IQ13" s="6">
        <f>E23</f>
        <v>-8.4376949871511897E-15</v>
      </c>
    </row>
    <row r="14" spans="1:255" ht="18" customHeight="1" x14ac:dyDescent="0.2">
      <c r="A14" s="46">
        <f t="shared" ref="A14:A23" si="12">IT2</f>
        <v>1</v>
      </c>
      <c r="B14" s="127">
        <f t="shared" ref="B14:B23" si="13">IU2</f>
        <v>25.4</v>
      </c>
      <c r="C14" s="124">
        <v>0</v>
      </c>
      <c r="D14" s="127">
        <f t="shared" ref="D14:D23" si="14">IF(OR($D$8=0,C14=""),"-",C14/$D$8*100)</f>
        <v>0</v>
      </c>
      <c r="E14" s="127">
        <f>IF(E13="-","-",E13-D14)</f>
        <v>100</v>
      </c>
      <c r="IC14" s="136">
        <f t="shared" si="0"/>
        <v>9.52</v>
      </c>
      <c r="ID14" s="136">
        <f t="shared" si="1"/>
        <v>12.7</v>
      </c>
      <c r="IE14" s="136">
        <f t="shared" si="2"/>
        <v>68.576864535768635</v>
      </c>
      <c r="IF14" s="136">
        <f t="shared" si="3"/>
        <v>87.975646879756468</v>
      </c>
      <c r="IG14" s="139">
        <f t="shared" si="4"/>
        <v>0</v>
      </c>
      <c r="IH14" s="139">
        <f t="shared" si="5"/>
        <v>0</v>
      </c>
      <c r="II14" s="139">
        <f t="shared" si="6"/>
        <v>0</v>
      </c>
      <c r="IJ14" s="142">
        <f t="shared" si="7"/>
        <v>0</v>
      </c>
      <c r="IK14" s="142">
        <f t="shared" si="8"/>
        <v>0</v>
      </c>
      <c r="IL14" s="142">
        <f t="shared" si="9"/>
        <v>0</v>
      </c>
      <c r="IM14" s="142">
        <f t="shared" si="10"/>
        <v>0</v>
      </c>
      <c r="IN14" s="142">
        <f t="shared" si="11"/>
        <v>0</v>
      </c>
      <c r="IP14" s="6">
        <f>(B22)</f>
        <v>7.3999999999999996E-2</v>
      </c>
      <c r="IQ14" s="6">
        <f>E22</f>
        <v>1.6582952815829444</v>
      </c>
      <c r="IS14">
        <v>200</v>
      </c>
      <c r="IT14" s="6">
        <f>IP14</f>
        <v>7.3999999999999996E-2</v>
      </c>
      <c r="IU14" s="10">
        <v>0</v>
      </c>
    </row>
    <row r="15" spans="1:255" ht="18" customHeight="1" x14ac:dyDescent="0.2">
      <c r="A15" s="46" t="str">
        <f t="shared" si="12"/>
        <v>3/4</v>
      </c>
      <c r="B15" s="127">
        <f t="shared" si="13"/>
        <v>19.100000000000001</v>
      </c>
      <c r="C15" s="124">
        <v>50.7</v>
      </c>
      <c r="D15" s="127">
        <f t="shared" si="14"/>
        <v>3.8584474885844751</v>
      </c>
      <c r="E15" s="127">
        <f t="shared" ref="E15:E23" si="15">IF(E14="-","-",E14-D15)</f>
        <v>96.141552511415526</v>
      </c>
      <c r="IC15" s="136">
        <f t="shared" si="0"/>
        <v>12.7</v>
      </c>
      <c r="ID15" s="136">
        <f t="shared" si="1"/>
        <v>19.100000000000001</v>
      </c>
      <c r="IE15" s="136">
        <f t="shared" si="2"/>
        <v>87.975646879756468</v>
      </c>
      <c r="IF15" s="136">
        <f t="shared" si="3"/>
        <v>96.141552511415526</v>
      </c>
      <c r="IG15" s="139">
        <f t="shared" si="4"/>
        <v>0</v>
      </c>
      <c r="IH15" s="139">
        <f t="shared" si="5"/>
        <v>0</v>
      </c>
      <c r="II15" s="139">
        <f t="shared" si="6"/>
        <v>0</v>
      </c>
      <c r="IJ15" s="142">
        <f t="shared" si="7"/>
        <v>0</v>
      </c>
      <c r="IK15" s="142">
        <f t="shared" si="8"/>
        <v>0</v>
      </c>
      <c r="IL15" s="142">
        <f t="shared" si="9"/>
        <v>0</v>
      </c>
      <c r="IM15" s="142">
        <f t="shared" si="10"/>
        <v>0</v>
      </c>
      <c r="IN15" s="142">
        <f t="shared" si="11"/>
        <v>0</v>
      </c>
      <c r="IP15" s="6">
        <f>(B21)</f>
        <v>0.42</v>
      </c>
      <c r="IQ15" s="6">
        <f>E21</f>
        <v>10.197108066971072</v>
      </c>
      <c r="IT15" s="6">
        <f>IP14</f>
        <v>7.3999999999999996E-2</v>
      </c>
      <c r="IU15" s="10">
        <v>100</v>
      </c>
    </row>
    <row r="16" spans="1:255" ht="18" customHeight="1" x14ac:dyDescent="0.2">
      <c r="A16" s="46" t="str">
        <f t="shared" si="12"/>
        <v>1/2</v>
      </c>
      <c r="B16" s="127">
        <f t="shared" si="13"/>
        <v>12.7</v>
      </c>
      <c r="C16" s="124">
        <v>107.3</v>
      </c>
      <c r="D16" s="127">
        <f t="shared" si="14"/>
        <v>8.1659056316590561</v>
      </c>
      <c r="E16" s="127">
        <f t="shared" si="15"/>
        <v>87.975646879756468</v>
      </c>
      <c r="IC16" s="136">
        <f t="shared" si="0"/>
        <v>19.100000000000001</v>
      </c>
      <c r="ID16" s="136">
        <f t="shared" si="1"/>
        <v>25.4</v>
      </c>
      <c r="IE16" s="136">
        <f t="shared" si="2"/>
        <v>96.141552511415526</v>
      </c>
      <c r="IF16" s="136">
        <f t="shared" si="3"/>
        <v>100</v>
      </c>
      <c r="IG16" s="139">
        <f t="shared" si="4"/>
        <v>0</v>
      </c>
      <c r="IH16" s="139">
        <f t="shared" si="5"/>
        <v>0</v>
      </c>
      <c r="II16" s="139">
        <f t="shared" si="6"/>
        <v>0</v>
      </c>
      <c r="IJ16" s="142">
        <f t="shared" si="7"/>
        <v>0</v>
      </c>
      <c r="IK16" s="142">
        <f t="shared" si="8"/>
        <v>0</v>
      </c>
      <c r="IL16" s="142">
        <f t="shared" si="9"/>
        <v>0</v>
      </c>
      <c r="IM16" s="142">
        <f t="shared" si="10"/>
        <v>0</v>
      </c>
      <c r="IN16" s="142">
        <f t="shared" si="11"/>
        <v>0</v>
      </c>
      <c r="IP16" s="6">
        <f>(B20)</f>
        <v>0.84</v>
      </c>
      <c r="IQ16" s="6">
        <f>E20</f>
        <v>15.006849315068486</v>
      </c>
    </row>
    <row r="17" spans="1:255" ht="18" customHeight="1" thickBot="1" x14ac:dyDescent="0.25">
      <c r="A17" s="46" t="str">
        <f t="shared" si="12"/>
        <v>3/8</v>
      </c>
      <c r="B17" s="127">
        <f t="shared" si="13"/>
        <v>9.52</v>
      </c>
      <c r="C17" s="124">
        <v>254.9</v>
      </c>
      <c r="D17" s="127">
        <f t="shared" si="14"/>
        <v>19.398782343987826</v>
      </c>
      <c r="E17" s="127">
        <f t="shared" si="15"/>
        <v>68.576864535768635</v>
      </c>
      <c r="IC17" s="137">
        <f t="shared" si="0"/>
        <v>25.4</v>
      </c>
      <c r="ID17" s="137">
        <f t="shared" si="1"/>
        <v>50.8</v>
      </c>
      <c r="IE17" s="137">
        <f t="shared" si="2"/>
        <v>100</v>
      </c>
      <c r="IF17" s="137">
        <f t="shared" si="3"/>
        <v>100</v>
      </c>
      <c r="IG17" s="140">
        <f t="shared" si="4"/>
        <v>0</v>
      </c>
      <c r="IH17" s="140">
        <f t="shared" si="5"/>
        <v>0</v>
      </c>
      <c r="II17" s="140">
        <f t="shared" si="6"/>
        <v>0</v>
      </c>
      <c r="IJ17" s="143">
        <f t="shared" si="7"/>
        <v>0</v>
      </c>
      <c r="IK17" s="143">
        <f t="shared" si="8"/>
        <v>0</v>
      </c>
      <c r="IL17" s="143">
        <f t="shared" si="9"/>
        <v>0</v>
      </c>
      <c r="IM17" s="143">
        <f t="shared" si="10"/>
        <v>0</v>
      </c>
      <c r="IN17" s="143">
        <f t="shared" si="11"/>
        <v>0</v>
      </c>
      <c r="IP17" s="6">
        <f>(B19)</f>
        <v>2</v>
      </c>
      <c r="IQ17" s="6">
        <f>E19</f>
        <v>21.483257229832564</v>
      </c>
    </row>
    <row r="18" spans="1:255" ht="18" customHeight="1" x14ac:dyDescent="0.2">
      <c r="A18" s="46">
        <f t="shared" si="12"/>
        <v>4</v>
      </c>
      <c r="B18" s="127">
        <f t="shared" si="13"/>
        <v>4.76</v>
      </c>
      <c r="C18" s="124">
        <v>568.6</v>
      </c>
      <c r="D18" s="127">
        <f t="shared" si="14"/>
        <v>43.272450532724505</v>
      </c>
      <c r="E18" s="127">
        <f t="shared" si="15"/>
        <v>25.30441400304413</v>
      </c>
      <c r="IP18" s="6">
        <f>(B18)</f>
        <v>4.76</v>
      </c>
      <c r="IQ18" s="6">
        <f>E18</f>
        <v>25.30441400304413</v>
      </c>
      <c r="IS18">
        <v>4</v>
      </c>
      <c r="IT18" s="6">
        <f>IP18</f>
        <v>4.76</v>
      </c>
      <c r="IU18">
        <v>0</v>
      </c>
    </row>
    <row r="19" spans="1:255" ht="18" customHeight="1" x14ac:dyDescent="0.2">
      <c r="A19" s="46">
        <f t="shared" si="12"/>
        <v>10</v>
      </c>
      <c r="B19" s="127">
        <f t="shared" si="13"/>
        <v>2</v>
      </c>
      <c r="C19" s="124">
        <v>50.21</v>
      </c>
      <c r="D19" s="127">
        <f t="shared" si="14"/>
        <v>3.8211567732115674</v>
      </c>
      <c r="E19" s="127">
        <f t="shared" si="15"/>
        <v>21.483257229832564</v>
      </c>
      <c r="IP19" s="6">
        <f>(B17)</f>
        <v>9.52</v>
      </c>
      <c r="IQ19" s="6">
        <f>E17</f>
        <v>68.576864535768635</v>
      </c>
      <c r="IT19" s="6">
        <f>IP18</f>
        <v>4.76</v>
      </c>
      <c r="IU19">
        <v>100</v>
      </c>
    </row>
    <row r="20" spans="1:255" ht="18" customHeight="1" x14ac:dyDescent="0.2">
      <c r="A20" s="46">
        <f t="shared" si="12"/>
        <v>20</v>
      </c>
      <c r="B20" s="127">
        <f t="shared" si="13"/>
        <v>0.84</v>
      </c>
      <c r="C20" s="124">
        <v>85.1</v>
      </c>
      <c r="D20" s="127">
        <f t="shared" si="14"/>
        <v>6.4764079147640787</v>
      </c>
      <c r="E20" s="127">
        <f t="shared" si="15"/>
        <v>15.006849315068486</v>
      </c>
      <c r="IP20" s="6">
        <f>(B16)</f>
        <v>12.7</v>
      </c>
      <c r="IQ20" s="6">
        <f>E16</f>
        <v>87.975646879756468</v>
      </c>
    </row>
    <row r="21" spans="1:255" ht="18" customHeight="1" x14ac:dyDescent="0.2">
      <c r="A21" s="46">
        <f t="shared" si="12"/>
        <v>40</v>
      </c>
      <c r="B21" s="127">
        <f t="shared" si="13"/>
        <v>0.42</v>
      </c>
      <c r="C21" s="124">
        <v>63.2</v>
      </c>
      <c r="D21" s="127">
        <f t="shared" si="14"/>
        <v>4.8097412480974127</v>
      </c>
      <c r="E21" s="127">
        <f t="shared" si="15"/>
        <v>10.197108066971072</v>
      </c>
      <c r="IP21" s="6">
        <f>(B15)</f>
        <v>19.100000000000001</v>
      </c>
      <c r="IQ21" s="6">
        <f>E15</f>
        <v>96.141552511415526</v>
      </c>
    </row>
    <row r="22" spans="1:255" ht="18" customHeight="1" x14ac:dyDescent="0.2">
      <c r="A22" s="46">
        <f t="shared" si="12"/>
        <v>200</v>
      </c>
      <c r="B22" s="127">
        <f t="shared" si="13"/>
        <v>7.3999999999999996E-2</v>
      </c>
      <c r="C22" s="124">
        <v>112.2</v>
      </c>
      <c r="D22" s="127">
        <f t="shared" si="14"/>
        <v>8.5388127853881279</v>
      </c>
      <c r="E22" s="127">
        <f t="shared" si="15"/>
        <v>1.6582952815829444</v>
      </c>
      <c r="IP22" s="6">
        <f>(B14)</f>
        <v>25.4</v>
      </c>
      <c r="IQ22" s="6">
        <f>E14</f>
        <v>100</v>
      </c>
    </row>
    <row r="23" spans="1:255" ht="18" customHeight="1" thickBot="1" x14ac:dyDescent="0.25">
      <c r="A23" s="47" t="str">
        <f t="shared" si="12"/>
        <v>FONDO</v>
      </c>
      <c r="B23" s="129">
        <f t="shared" si="13"/>
        <v>0</v>
      </c>
      <c r="C23" s="125">
        <v>21.79</v>
      </c>
      <c r="D23" s="128">
        <f t="shared" si="14"/>
        <v>1.6582952815829528</v>
      </c>
      <c r="E23" s="128">
        <f t="shared" si="15"/>
        <v>-8.4376949871511897E-15</v>
      </c>
      <c r="IP23" s="6">
        <f>(B13)</f>
        <v>50.8</v>
      </c>
      <c r="IQ23" s="6">
        <f>E13</f>
        <v>100</v>
      </c>
    </row>
    <row r="24" spans="1:255" ht="18.75" thickBot="1" x14ac:dyDescent="0.3">
      <c r="A24" s="41"/>
      <c r="B24" s="48" t="s">
        <v>52</v>
      </c>
      <c r="C24" s="49">
        <f>IF(OR(C13="",C14="",C15="",C16="",C17="",C18="",C19="",C20="",C21="",C22="",C23=""),"",ROUND(SUM(C13:C23),3))</f>
        <v>1314</v>
      </c>
      <c r="D24" s="49">
        <f>IF(OR(D13="",D14="",D15="",D16="",D17="",D18="",D19="",D20="",D21="",D22="",D23=""),"",ROUND(SUM(D13:D23),3))</f>
        <v>100</v>
      </c>
      <c r="E24" s="41"/>
    </row>
    <row r="25" spans="1:255" ht="13.5" thickBot="1" x14ac:dyDescent="0.25">
      <c r="A25" s="41"/>
      <c r="B25" s="50"/>
      <c r="C25" s="41"/>
      <c r="D25" s="41"/>
      <c r="E25" s="41"/>
      <c r="IP25" s="6"/>
    </row>
    <row r="26" spans="1:255" x14ac:dyDescent="0.2">
      <c r="A26" s="51" t="s">
        <v>51</v>
      </c>
      <c r="B26" s="52" t="str">
        <f>IF(OR(D6="",D6&lt;0),"El Valor del Peso de Suelo Seco + Recipiente no puede quedar vacío ni ser Menor de Cero","Valor de Peso de Suelo Seco + Recipiente = OK")</f>
        <v>Valor de Peso de Suelo Seco + Recipiente = OK</v>
      </c>
      <c r="C26" s="53"/>
      <c r="D26" s="53"/>
      <c r="E26" s="130" t="str">
        <f>IF(B26="Valor de Peso de Suelo Seco + Recipiente = OK","",1)</f>
        <v/>
      </c>
    </row>
    <row r="27" spans="1:255" x14ac:dyDescent="0.2">
      <c r="A27" s="55"/>
      <c r="B27" s="56" t="str">
        <f>IF(OR(D7="",D7&lt;0),"El Valor del Peso de Recipiente no puede quedar vacío ni ser Menor de Cero","Valor del Peso del Recipiente = OK")</f>
        <v>Valor del Peso del Recipiente = OK</v>
      </c>
      <c r="C27" s="41"/>
      <c r="D27" s="41"/>
      <c r="E27" s="131" t="str">
        <f>IF(B27="Valor del Peso del Recipiente = OK","",1)</f>
        <v/>
      </c>
      <c r="IP27" s="15">
        <f t="array" ref="IP27:IQ27">LOGEST(IQ14:IQ22,IP14:IP22,TRUE,FALSE)</f>
        <v>1.1258268738566812</v>
      </c>
      <c r="IQ27" s="16">
        <v>10.13490963112333</v>
      </c>
      <c r="IR27" s="11"/>
    </row>
    <row r="28" spans="1:255" x14ac:dyDescent="0.2">
      <c r="A28" s="55"/>
      <c r="B28" s="56" t="str">
        <f>IF((D8-C24)/D8&gt;=0.02,"Se perdió más del 2% del Suelo, El Ensayo no es válido","% Máximo de Pérdida de Suelo = OK")</f>
        <v>% Máximo de Pérdida de Suelo = OK</v>
      </c>
      <c r="C28" s="41"/>
      <c r="D28" s="41"/>
      <c r="E28" s="131" t="str">
        <f>IF(B28="% Máximo de Pérdida de Suelo = OK","",1)</f>
        <v/>
      </c>
      <c r="IP28" s="11" t="s">
        <v>79</v>
      </c>
      <c r="IQ28" s="14" t="str">
        <f>IQ27&amp;"  *  "&amp;IP27&amp;"X"</f>
        <v>10,1349096311233  *  1,12582687385668X</v>
      </c>
      <c r="IR28" s="11"/>
    </row>
    <row r="29" spans="1:255" x14ac:dyDescent="0.2">
      <c r="A29" s="55"/>
      <c r="B29" s="56" t="str">
        <f>IF(D8&lt;C24,"Se ha Registrado más Peso del debido, revise los Pesos Retenidos","Peso Retenido en Mallas = OK")</f>
        <v>Peso Retenido en Mallas = OK</v>
      </c>
      <c r="C29" s="41"/>
      <c r="D29" s="41"/>
      <c r="E29" s="131" t="str">
        <f>IF(B29="Peso Retenido en Mallas = OK","",1)</f>
        <v/>
      </c>
      <c r="IP29" s="11"/>
      <c r="IQ29" s="12"/>
      <c r="IR29" s="13"/>
    </row>
    <row r="30" spans="1:255" ht="13.5" thickBot="1" x14ac:dyDescent="0.25">
      <c r="A30" s="58"/>
      <c r="B30" s="59" t="str">
        <f>IF(E23&gt;0,"No puede pasar material del Fondo, Verifique los Pesos Retenidos","% que pasa Fondo = OK")</f>
        <v>% que pasa Fondo = OK</v>
      </c>
      <c r="C30" s="60"/>
      <c r="D30" s="60"/>
      <c r="E30" s="132" t="str">
        <f>IF(B30="% que pasa Fondo = OK","",1)</f>
        <v/>
      </c>
      <c r="IP30" s="11"/>
      <c r="IQ30" s="12"/>
      <c r="IR30" s="13"/>
    </row>
    <row r="31" spans="1:255" ht="13.5" thickBot="1" x14ac:dyDescent="0.25">
      <c r="A31" s="62"/>
      <c r="B31" s="63" t="str">
        <f>IF(SUM(E26:E30)=0,IF(SUM(D13:D22)&gt;50,"Es un Suelo Grueso, puede clasificarse analizando la Distribución Granulométrica","Es un Suelo Fino, por Favor calcule los Límites de Atterberg para Clasificar el Suelo"),"")</f>
        <v>Es un Suelo Grueso, puede clasificarse analizando la Distribución Granulométrica</v>
      </c>
      <c r="C31" s="64"/>
      <c r="D31" s="64"/>
      <c r="E31" s="65"/>
      <c r="IP31" s="11" t="s">
        <v>80</v>
      </c>
      <c r="IQ31" s="12">
        <f>(10/IQ27)/IP27</f>
        <v>0.87641238909246622</v>
      </c>
      <c r="IR31" s="13"/>
    </row>
    <row r="32" spans="1:255" x14ac:dyDescent="0.2">
      <c r="A32" s="62"/>
      <c r="B32" s="50"/>
      <c r="C32" s="41"/>
      <c r="D32" s="41"/>
      <c r="E32" s="41"/>
      <c r="IP32" s="11" t="s">
        <v>81</v>
      </c>
      <c r="IQ32" s="12">
        <f>(30/IQ27)/IP27</f>
        <v>2.6292371672773989</v>
      </c>
      <c r="IR32" s="18"/>
    </row>
    <row r="33" spans="1:253" ht="21.75" x14ac:dyDescent="0.35">
      <c r="A33" s="66" t="s">
        <v>50</v>
      </c>
      <c r="B33" s="36"/>
      <c r="C33" s="36"/>
      <c r="D33" s="36"/>
      <c r="E33" s="36"/>
      <c r="IP33" s="11" t="s">
        <v>82</v>
      </c>
      <c r="IQ33" s="12">
        <f>(60/IQ27)/IP27</f>
        <v>5.2584743345547977</v>
      </c>
      <c r="IR33" s="18"/>
      <c r="IS33" s="19"/>
    </row>
    <row r="34" spans="1:253" x14ac:dyDescent="0.2">
      <c r="IP34" s="11"/>
      <c r="IQ34" s="12"/>
      <c r="IR34" s="13"/>
    </row>
    <row r="35" spans="1:253" ht="15.75" x14ac:dyDescent="0.25">
      <c r="C35" s="3"/>
      <c r="IP35" s="11"/>
      <c r="IQ35" s="12"/>
      <c r="IR35" s="13"/>
    </row>
    <row r="36" spans="1:253" ht="25.5" x14ac:dyDescent="0.2">
      <c r="IP36" s="17"/>
      <c r="IQ36" s="11" t="s">
        <v>88</v>
      </c>
      <c r="IR36" s="11"/>
    </row>
    <row r="37" spans="1:253" x14ac:dyDescent="0.2">
      <c r="IP37" s="21" t="s">
        <v>89</v>
      </c>
      <c r="IQ37">
        <f>INDEX(LOGEST(IQ14:IQ22,IP14:IP22),1)</f>
        <v>1.1258268738566812</v>
      </c>
    </row>
    <row r="38" spans="1:253" x14ac:dyDescent="0.2">
      <c r="IP38" s="20" t="s">
        <v>90</v>
      </c>
      <c r="IQ38">
        <f>INDEX(LOGEST(IQ14:IQ23,IP14:IP23),2)</f>
        <v>15.253021019764844</v>
      </c>
    </row>
    <row r="39" spans="1:253" x14ac:dyDescent="0.2">
      <c r="IP39" s="11"/>
    </row>
    <row r="40" spans="1:253" x14ac:dyDescent="0.2">
      <c r="IP40" s="20">
        <v>10</v>
      </c>
      <c r="IQ40">
        <f>(10/$IQ$38)/$IQ$37</f>
        <v>0.58233449960760508</v>
      </c>
    </row>
    <row r="41" spans="1:253" x14ac:dyDescent="0.2">
      <c r="IP41" s="21">
        <v>30</v>
      </c>
      <c r="IQ41">
        <f>(30/$IQ$38)/$IQ$37</f>
        <v>1.7470034988228154</v>
      </c>
    </row>
    <row r="42" spans="1:253" x14ac:dyDescent="0.2">
      <c r="IP42" s="21">
        <v>60</v>
      </c>
      <c r="IQ42">
        <f>(60/$IQ$38)/$IQ$37</f>
        <v>3.4940069976456307</v>
      </c>
    </row>
    <row r="46" spans="1:253" x14ac:dyDescent="0.2">
      <c r="A46" t="s">
        <v>35</v>
      </c>
    </row>
    <row r="65531" spans="253:253" x14ac:dyDescent="0.2">
      <c r="IS65531" s="31" t="s">
        <v>126</v>
      </c>
    </row>
    <row r="65532" spans="253:253" x14ac:dyDescent="0.2">
      <c r="IS65532" t="s">
        <v>120</v>
      </c>
    </row>
    <row r="65533" spans="253:253" x14ac:dyDescent="0.2">
      <c r="IS65533" t="s">
        <v>121</v>
      </c>
    </row>
    <row r="65534" spans="253:253" x14ac:dyDescent="0.2">
      <c r="IS65534" t="s">
        <v>122</v>
      </c>
    </row>
    <row r="65535" spans="253:253" x14ac:dyDescent="0.2">
      <c r="IS65535" t="s">
        <v>123</v>
      </c>
    </row>
    <row r="65536" spans="253:253" x14ac:dyDescent="0.2">
      <c r="IS65536" t="s">
        <v>124</v>
      </c>
    </row>
  </sheetData>
  <mergeCells count="2">
    <mergeCell ref="A1:E1"/>
    <mergeCell ref="F1:K1"/>
  </mergeCells>
  <phoneticPr fontId="10" type="noConversion"/>
  <conditionalFormatting sqref="B26">
    <cfRule type="cellIs" dxfId="14" priority="4" stopIfTrue="1" operator="equal">
      <formula>"El Valor del Peso de Suelo Seco + Recipiente no puede quedar vacío ni ser Menor de Cero"</formula>
    </cfRule>
  </conditionalFormatting>
  <conditionalFormatting sqref="B27">
    <cfRule type="cellIs" dxfId="13" priority="5" stopIfTrue="1" operator="equal">
      <formula>"El Valor del Peso de Recipiente no puede quedar vacío ni ser Menor de Cero"</formula>
    </cfRule>
  </conditionalFormatting>
  <conditionalFormatting sqref="B28">
    <cfRule type="cellIs" dxfId="12" priority="6" stopIfTrue="1" operator="equal">
      <formula>"Se perdió más del 2% del Suelo, El Ensayo no es válido"</formula>
    </cfRule>
  </conditionalFormatting>
  <conditionalFormatting sqref="B29">
    <cfRule type="cellIs" dxfId="11" priority="7" stopIfTrue="1" operator="equal">
      <formula>"Se ha Registrado más Peso del debido, revise los Pesos Retenidos"</formula>
    </cfRule>
  </conditionalFormatting>
  <conditionalFormatting sqref="B30">
    <cfRule type="cellIs" dxfId="10" priority="8" stopIfTrue="1" operator="equal">
      <formula>"No puede pasar material del Fondo, Verifique los Pesos Retenidos"</formula>
    </cfRule>
  </conditionalFormatting>
  <conditionalFormatting sqref="E23">
    <cfRule type="cellIs" dxfId="9" priority="9" stopIfTrue="1" operator="greaterThan">
      <formula>0</formula>
    </cfRule>
  </conditionalFormatting>
  <conditionalFormatting sqref="E26">
    <cfRule type="cellIs" dxfId="8" priority="3" stopIfTrue="1" operator="equal">
      <formula>1</formula>
    </cfRule>
  </conditionalFormatting>
  <conditionalFormatting sqref="E27:E30">
    <cfRule type="cellIs" dxfId="7" priority="2" stopIfTrue="1" operator="equal">
      <formula>1</formula>
    </cfRule>
  </conditionalFormatting>
  <conditionalFormatting sqref="B31">
    <cfRule type="containsBlanks" dxfId="6" priority="1" stopIfTrue="1">
      <formula>LEN(TRIM(B31))=0</formula>
    </cfRule>
  </conditionalFormatting>
  <dataValidations count="13">
    <dataValidation type="decimal" operator="greaterThanOrEqual" allowBlank="1" showInputMessage="1" showErrorMessage="1" errorTitle="Advertencia" error="El Peso del Recipiente debe ser mayor de Cero (0)" sqref="D7">
      <formula1>0</formula1>
    </dataValidation>
    <dataValidation type="decimal" allowBlank="1" showInputMessage="1" showErrorMessage="1" errorTitle="Advertencia" error="El Peso Retenido debe ser un valor entre Cero y el Peso Total de Suelo Seco" sqref="C13">
      <formula1>0</formula1>
      <formula2>D6-D7</formula2>
    </dataValidation>
    <dataValidation type="decimal" allowBlank="1" showInputMessage="1" showErrorMessage="1" errorTitle="Advertencia" error="El Peso Retenido debe ser un valor entre Cero y el Peso Total de Suelo Seco" sqref="C14">
      <formula1>0</formula1>
      <formula2>D6-D7</formula2>
    </dataValidation>
    <dataValidation type="decimal" allowBlank="1" showInputMessage="1" showErrorMessage="1" errorTitle="Advertencia" error="El Peso Retenido debe ser un valor entre Cero y el Peso Total de Suelo Seco" sqref="C15">
      <formula1>0</formula1>
      <formula2>D6-D7</formula2>
    </dataValidation>
    <dataValidation type="decimal" allowBlank="1" showInputMessage="1" showErrorMessage="1" errorTitle="Advertencia" error="El Peso Retenido debe ser un valor entre Cero y el Peso Total de Suelo Seco" sqref="C16">
      <formula1>0</formula1>
      <formula2>D6-D7</formula2>
    </dataValidation>
    <dataValidation type="decimal" allowBlank="1" showInputMessage="1" showErrorMessage="1" errorTitle="Advertencia" error="El Peso Retenido debe ser un valor entre Cero y el Peso Total de Suelo Seco" sqref="C17">
      <formula1>0</formula1>
      <formula2>D6-D7</formula2>
    </dataValidation>
    <dataValidation type="decimal" allowBlank="1" showInputMessage="1" showErrorMessage="1" errorTitle="Advertencia" error="El Peso Retenido debe ser un valor entre Cero y el Peso Total de Suelo Seco" sqref="C18">
      <formula1>0</formula1>
      <formula2>D6-D7</formula2>
    </dataValidation>
    <dataValidation type="decimal" allowBlank="1" showInputMessage="1" showErrorMessage="1" errorTitle="Advertencia" error="El Peso Retenido debe ser un valor entre Cero y el Peso Total de Suelo Seco" sqref="C19">
      <formula1>0</formula1>
      <formula2>D6-D7</formula2>
    </dataValidation>
    <dataValidation type="decimal" allowBlank="1" showInputMessage="1" showErrorMessage="1" errorTitle="Advertencia" error="El Peso Retenido debe ser un valor entre Cero y el Peso Total de Suelo Seco" sqref="C20">
      <formula1>0</formula1>
      <formula2>D6-D7</formula2>
    </dataValidation>
    <dataValidation type="decimal" allowBlank="1" showInputMessage="1" showErrorMessage="1" errorTitle="Advertencia" error="El Peso Retenido debe ser un valor entre Cero y el Peso Total de Suelo Seco" sqref="C21">
      <formula1>0</formula1>
      <formula2>D6-D7</formula2>
    </dataValidation>
    <dataValidation type="decimal" allowBlank="1" showInputMessage="1" showErrorMessage="1" errorTitle="Advertencia" error="El Peso Retenido debe ser un valor entre Cero y el Peso Total de Suelo Seco" sqref="C22">
      <formula1>0</formula1>
      <formula2>D6-D7</formula2>
    </dataValidation>
    <dataValidation type="decimal" allowBlank="1" showInputMessage="1" showErrorMessage="1" errorTitle="Advertencia" error="El Peso Retenido debe ser un valor entre Cero y el Peso Total de Suelo Seco" sqref="C23">
      <formula1>0</formula1>
      <formula2>D6-D7</formula2>
    </dataValidation>
    <dataValidation type="decimal" operator="greaterThan" allowBlank="1" showInputMessage="1" showErrorMessage="1" errorTitle="Advertencia" error="Este valor solamente puede ser mayor de cero (0)" sqref="D6">
      <formula1>0</formula1>
    </dataValidation>
  </dataValidations>
  <printOptions horizontalCentered="1" verticalCentered="1"/>
  <pageMargins left="0.59055118110236227" right="0.59055118110236227" top="0.98425196850393704" bottom="0.98425196850393704" header="0.51181102362204722" footer="0.51181102362204722"/>
  <pageSetup orientation="portrait" horizontalDpi="300" verticalDpi="300" r:id="rId1"/>
  <headerFooter alignWithMargins="0">
    <oddFooter>&amp;C&amp;"Arial,Negrita"FLY&amp;"Arial,Normal"
fabianyory@gmail.com</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S65536"/>
  <sheetViews>
    <sheetView zoomScaleNormal="100" workbookViewId="0">
      <selection activeCell="C13" sqref="C13"/>
    </sheetView>
  </sheetViews>
  <sheetFormatPr baseColWidth="10" defaultRowHeight="12.75" x14ac:dyDescent="0.2"/>
  <cols>
    <col min="1" max="1" width="13.140625" customWidth="1"/>
    <col min="2" max="2" width="15.42578125" customWidth="1"/>
    <col min="3" max="3" width="21.7109375" customWidth="1"/>
    <col min="4" max="4" width="3.85546875" customWidth="1"/>
    <col min="7" max="7" width="20.140625" customWidth="1"/>
    <col min="249" max="249" width="17.5703125" customWidth="1"/>
  </cols>
  <sheetData>
    <row r="1" spans="1:253" ht="21" thickBot="1" x14ac:dyDescent="0.35">
      <c r="A1" s="148" t="s">
        <v>46</v>
      </c>
      <c r="B1" s="149"/>
      <c r="C1" s="149"/>
      <c r="D1" s="149"/>
      <c r="E1" s="149"/>
      <c r="F1" s="149"/>
      <c r="G1" s="150"/>
      <c r="IS1" t="s">
        <v>59</v>
      </c>
    </row>
    <row r="2" spans="1:253" x14ac:dyDescent="0.2">
      <c r="A2" s="67"/>
      <c r="B2" s="68"/>
      <c r="C2" s="69"/>
      <c r="D2" s="160"/>
      <c r="E2" s="160"/>
      <c r="F2" s="36"/>
      <c r="G2" s="36"/>
      <c r="IO2" t="s">
        <v>75</v>
      </c>
      <c r="IP2" t="s">
        <v>76</v>
      </c>
      <c r="IS2" t="s">
        <v>60</v>
      </c>
    </row>
    <row r="3" spans="1:253" x14ac:dyDescent="0.2">
      <c r="A3" s="41"/>
      <c r="B3" s="41"/>
      <c r="C3" s="41"/>
      <c r="D3" s="41"/>
      <c r="E3" s="41"/>
      <c r="F3" s="41"/>
      <c r="G3" s="41"/>
      <c r="IO3" t="s">
        <v>69</v>
      </c>
      <c r="IP3" t="s">
        <v>96</v>
      </c>
    </row>
    <row r="4" spans="1:253" x14ac:dyDescent="0.2">
      <c r="A4" s="41"/>
      <c r="B4" s="41"/>
      <c r="C4" s="41"/>
      <c r="D4" s="42"/>
      <c r="E4" s="41"/>
      <c r="F4" s="41"/>
      <c r="G4" s="41"/>
      <c r="IO4" t="s">
        <v>67</v>
      </c>
      <c r="IP4" t="s">
        <v>97</v>
      </c>
    </row>
    <row r="5" spans="1:253" x14ac:dyDescent="0.2">
      <c r="A5" s="41"/>
      <c r="B5" s="41"/>
      <c r="C5" s="41"/>
      <c r="D5" s="42"/>
      <c r="E5" s="41"/>
      <c r="F5" s="41"/>
      <c r="G5" s="41"/>
      <c r="IO5" t="s">
        <v>68</v>
      </c>
      <c r="IP5" t="s">
        <v>102</v>
      </c>
    </row>
    <row r="6" spans="1:253" x14ac:dyDescent="0.2">
      <c r="A6" s="41"/>
      <c r="B6" s="41"/>
      <c r="C6" s="41"/>
      <c r="D6" s="42"/>
      <c r="E6" s="41"/>
      <c r="F6" s="41"/>
      <c r="G6" s="41"/>
      <c r="IO6" t="s">
        <v>66</v>
      </c>
      <c r="IP6" t="s">
        <v>98</v>
      </c>
    </row>
    <row r="7" spans="1:253" x14ac:dyDescent="0.2">
      <c r="A7" s="41"/>
      <c r="B7" s="41"/>
      <c r="C7" s="41"/>
      <c r="D7" s="42"/>
      <c r="E7" s="41"/>
      <c r="F7" s="41"/>
      <c r="G7" s="41"/>
      <c r="IO7" t="s">
        <v>65</v>
      </c>
      <c r="IP7" t="s">
        <v>99</v>
      </c>
    </row>
    <row r="8" spans="1:253" x14ac:dyDescent="0.2">
      <c r="A8" s="41"/>
      <c r="B8" s="41"/>
      <c r="C8" s="41"/>
      <c r="D8" s="42"/>
      <c r="E8" s="41"/>
      <c r="F8" s="41"/>
      <c r="G8" s="41"/>
      <c r="IO8" t="s">
        <v>74</v>
      </c>
      <c r="IP8" t="s">
        <v>100</v>
      </c>
    </row>
    <row r="9" spans="1:253" x14ac:dyDescent="0.2">
      <c r="A9" s="41"/>
      <c r="B9" s="41"/>
      <c r="C9" s="41"/>
      <c r="D9" s="41"/>
      <c r="E9" s="41"/>
      <c r="F9" s="41"/>
      <c r="G9" s="41"/>
      <c r="IO9" t="s">
        <v>72</v>
      </c>
      <c r="IP9" t="s">
        <v>101</v>
      </c>
    </row>
    <row r="10" spans="1:253" x14ac:dyDescent="0.2">
      <c r="A10" s="41"/>
      <c r="B10" s="41"/>
      <c r="C10" s="41"/>
      <c r="D10" s="41"/>
      <c r="E10" s="41"/>
      <c r="F10" s="41"/>
      <c r="G10" s="41"/>
      <c r="IO10" t="s">
        <v>73</v>
      </c>
      <c r="IP10" t="s">
        <v>103</v>
      </c>
    </row>
    <row r="11" spans="1:253" x14ac:dyDescent="0.2">
      <c r="A11" s="41"/>
      <c r="B11" s="41"/>
      <c r="C11" s="41"/>
      <c r="D11" s="41"/>
      <c r="E11" s="41"/>
      <c r="F11" s="41"/>
      <c r="G11" s="41"/>
      <c r="IO11" t="s">
        <v>71</v>
      </c>
      <c r="IP11" t="s">
        <v>104</v>
      </c>
    </row>
    <row r="12" spans="1:253" x14ac:dyDescent="0.2">
      <c r="A12" s="70"/>
      <c r="B12" s="70"/>
      <c r="C12" s="70"/>
      <c r="D12" s="70"/>
      <c r="E12" s="70"/>
      <c r="F12" s="41"/>
      <c r="G12" s="41"/>
      <c r="IO12" t="s">
        <v>70</v>
      </c>
      <c r="IP12" t="s">
        <v>105</v>
      </c>
    </row>
    <row r="13" spans="1:253" x14ac:dyDescent="0.2">
      <c r="A13" s="71"/>
      <c r="B13" s="50"/>
      <c r="C13" s="50"/>
      <c r="D13" s="50"/>
      <c r="E13" s="50"/>
      <c r="F13" s="41"/>
      <c r="G13" s="41"/>
    </row>
    <row r="14" spans="1:253" x14ac:dyDescent="0.2">
      <c r="A14" s="71"/>
      <c r="B14" s="50"/>
      <c r="C14" s="50"/>
      <c r="D14" s="50"/>
      <c r="E14" s="50"/>
      <c r="F14" s="41"/>
      <c r="G14" s="41"/>
    </row>
    <row r="15" spans="1:253" x14ac:dyDescent="0.2">
      <c r="A15" s="71"/>
      <c r="B15" s="50"/>
      <c r="C15" s="50"/>
      <c r="D15" s="50"/>
      <c r="E15" s="50"/>
      <c r="F15" s="41"/>
      <c r="G15" s="41"/>
    </row>
    <row r="16" spans="1:253" x14ac:dyDescent="0.2">
      <c r="A16" s="71"/>
      <c r="B16" s="50"/>
      <c r="C16" s="50"/>
      <c r="D16" s="50"/>
      <c r="E16" s="50"/>
      <c r="F16" s="41"/>
      <c r="G16" s="41"/>
    </row>
    <row r="17" spans="1:7" x14ac:dyDescent="0.2">
      <c r="A17" s="71"/>
      <c r="B17" s="50"/>
      <c r="C17" s="50"/>
      <c r="D17" s="50"/>
      <c r="E17" s="50"/>
      <c r="F17" s="41"/>
      <c r="G17" s="41"/>
    </row>
    <row r="18" spans="1:7" x14ac:dyDescent="0.2">
      <c r="A18" s="71"/>
      <c r="B18" s="50"/>
      <c r="C18" s="50"/>
      <c r="D18" s="50"/>
      <c r="E18" s="50"/>
      <c r="F18" s="41"/>
      <c r="G18" s="41"/>
    </row>
    <row r="19" spans="1:7" x14ac:dyDescent="0.2">
      <c r="A19" s="71"/>
      <c r="B19" s="50"/>
      <c r="C19" s="50"/>
      <c r="D19" s="50"/>
      <c r="E19" s="50"/>
      <c r="F19" s="41"/>
      <c r="G19" s="41"/>
    </row>
    <row r="20" spans="1:7" x14ac:dyDescent="0.2">
      <c r="A20" s="71"/>
      <c r="B20" s="50"/>
      <c r="C20" s="50"/>
      <c r="D20" s="50"/>
      <c r="E20" s="50"/>
      <c r="F20" s="41"/>
      <c r="G20" s="41"/>
    </row>
    <row r="21" spans="1:7" x14ac:dyDescent="0.2">
      <c r="A21" s="71"/>
      <c r="B21" s="50"/>
      <c r="C21" s="50"/>
      <c r="D21" s="50"/>
      <c r="E21" s="50"/>
      <c r="F21" s="41"/>
      <c r="G21" s="41"/>
    </row>
    <row r="22" spans="1:7" x14ac:dyDescent="0.2">
      <c r="A22" s="71"/>
      <c r="B22" s="50"/>
      <c r="C22" s="50"/>
      <c r="D22" s="50"/>
      <c r="E22" s="50"/>
      <c r="F22" s="41"/>
      <c r="G22" s="41"/>
    </row>
    <row r="23" spans="1:7" x14ac:dyDescent="0.2">
      <c r="A23" s="71"/>
      <c r="B23" s="50"/>
      <c r="C23" s="50"/>
      <c r="D23" s="50"/>
      <c r="E23" s="50"/>
      <c r="F23" s="41"/>
      <c r="G23" s="41"/>
    </row>
    <row r="24" spans="1:7" x14ac:dyDescent="0.2">
      <c r="A24" s="71"/>
      <c r="B24" s="50"/>
      <c r="C24" s="50"/>
      <c r="D24" s="50"/>
      <c r="E24" s="50"/>
      <c r="F24" s="41"/>
      <c r="G24" s="41"/>
    </row>
    <row r="25" spans="1:7" x14ac:dyDescent="0.2">
      <c r="A25" s="71"/>
      <c r="B25" s="50"/>
      <c r="C25" s="50"/>
      <c r="D25" s="50"/>
      <c r="E25" s="50"/>
      <c r="F25" s="41"/>
      <c r="G25" s="41"/>
    </row>
    <row r="26" spans="1:7" x14ac:dyDescent="0.2">
      <c r="A26" s="71"/>
      <c r="B26" s="50"/>
      <c r="C26" s="50"/>
      <c r="D26" s="50"/>
      <c r="E26" s="50"/>
      <c r="F26" s="41"/>
      <c r="G26" s="41"/>
    </row>
    <row r="27" spans="1:7" ht="13.5" thickBot="1" x14ac:dyDescent="0.25">
      <c r="A27" s="41"/>
      <c r="B27" s="41"/>
      <c r="C27" s="41"/>
      <c r="D27" s="41"/>
      <c r="E27" s="41"/>
      <c r="F27" s="41"/>
      <c r="G27" s="41"/>
    </row>
    <row r="28" spans="1:7" ht="18.75" x14ac:dyDescent="0.35">
      <c r="A28" s="72" t="s">
        <v>83</v>
      </c>
      <c r="B28" s="73">
        <f>MAX(ANALISIS_GRANULOMETRICO!IL8:IL17)</f>
        <v>0.41201301247771871</v>
      </c>
      <c r="C28" s="53"/>
      <c r="D28" s="53"/>
      <c r="E28" s="53"/>
      <c r="F28" s="72" t="s">
        <v>86</v>
      </c>
      <c r="G28" s="74">
        <f>IF(AND(B28&gt;0,B30&gt;0),B30/B28,"-")</f>
        <v>20.816184459361974</v>
      </c>
    </row>
    <row r="29" spans="1:7" ht="18.75" x14ac:dyDescent="0.35">
      <c r="A29" s="75" t="s">
        <v>84</v>
      </c>
      <c r="B29" s="76">
        <f>MAX(ANALISIS_GRANULOMETRICO!IM8:IM17)</f>
        <v>5.2765177629264874</v>
      </c>
      <c r="C29" s="41"/>
      <c r="D29" s="41"/>
      <c r="E29" s="41"/>
      <c r="F29" s="77" t="s">
        <v>87</v>
      </c>
      <c r="G29" s="121">
        <f>IF(AND(B28&gt;0,B29&gt;0,B30&gt;0),(B29*B29)/(B30*B28),"-")</f>
        <v>7.8790129890908567</v>
      </c>
    </row>
    <row r="30" spans="1:7" ht="19.5" thickBot="1" x14ac:dyDescent="0.4">
      <c r="A30" s="78" t="s">
        <v>85</v>
      </c>
      <c r="B30" s="79">
        <f>MAX(ANALISIS_GRANULOMETRICO!IN8:IN17)</f>
        <v>8.5765388673935998</v>
      </c>
      <c r="C30" s="60"/>
      <c r="D30" s="60"/>
      <c r="E30" s="60"/>
      <c r="F30" s="80"/>
      <c r="G30" s="61"/>
    </row>
    <row r="31" spans="1:7" ht="13.5" thickBot="1" x14ac:dyDescent="0.25">
      <c r="A31" s="41"/>
      <c r="B31" s="41"/>
      <c r="C31" s="41"/>
      <c r="D31" s="41"/>
      <c r="E31" s="41"/>
      <c r="F31" s="41"/>
      <c r="G31" s="41"/>
    </row>
    <row r="32" spans="1:7" ht="15.75" x14ac:dyDescent="0.25">
      <c r="A32" s="158" t="s">
        <v>55</v>
      </c>
      <c r="B32" s="159"/>
      <c r="C32" s="81" t="str">
        <f>IF(SUM(ANALISIS_GRANULOMETRICO!E26:E30)=0,IF(SUM(ANALISIS_GRANULOMETRICO!D13:D22)&gt;50,"Suelo Grueso","Suelo Fino"),"")</f>
        <v>Suelo Grueso</v>
      </c>
      <c r="D32" s="53"/>
      <c r="E32" s="82" t="str">
        <f>IF(C32="Suelo Fino","-",IF(C32="Suelo Grueso","Más del 50% se retiene en la Malla # 200","Más del 50% pasa la Malla # 200"))</f>
        <v>Más del 50% se retiene en la Malla # 200</v>
      </c>
      <c r="F32" s="53"/>
      <c r="G32" s="54"/>
    </row>
    <row r="33" spans="1:7" x14ac:dyDescent="0.2">
      <c r="A33" s="83"/>
      <c r="B33" s="41"/>
      <c r="C33" s="84" t="str">
        <f>IF(C32="Suelo Fino","Debe calcular los Límites de Atterberg para Clasificar este Suelo","")</f>
        <v/>
      </c>
      <c r="D33" s="41"/>
      <c r="E33" s="41"/>
      <c r="F33" s="41"/>
      <c r="G33" s="57"/>
    </row>
    <row r="34" spans="1:7" ht="15.75" x14ac:dyDescent="0.25">
      <c r="A34" s="156" t="s">
        <v>56</v>
      </c>
      <c r="B34" s="157"/>
      <c r="C34" s="85" t="str">
        <f>IF(C32="Suelo Fino","-",IF(SUM(ANALISIS_GRANULOMETRICO!D13:D18)&gt;50,"Grava","Arena"))</f>
        <v>Grava</v>
      </c>
      <c r="D34" s="86" t="str">
        <f>IF(C34="Grava","G","S")</f>
        <v>G</v>
      </c>
      <c r="E34" s="87" t="str">
        <f>IF(C32="Suelo Fino","-",IF(C34="Grava","Más del 50% se retiene en la Malla # 4","Más del 50% pasa la Malla # 4"))</f>
        <v>Más del 50% se retiene en la Malla # 4</v>
      </c>
      <c r="F34" s="41"/>
      <c r="G34" s="57"/>
    </row>
    <row r="35" spans="1:7" x14ac:dyDescent="0.2">
      <c r="A35" s="83"/>
      <c r="B35" s="41"/>
      <c r="C35" s="41"/>
      <c r="D35" s="41"/>
      <c r="E35" s="41"/>
      <c r="F35" s="41"/>
      <c r="G35" s="57"/>
    </row>
    <row r="36" spans="1:7" ht="15.75" x14ac:dyDescent="0.25">
      <c r="A36" s="156" t="s">
        <v>57</v>
      </c>
      <c r="B36" s="157"/>
      <c r="C36" s="86" t="str">
        <f>IF(E36="Menos del 5% pasa la Malla # 200","Caso 1",IF(E36="Más del 12% pasa la Malla # 200","Caso 3","Caso 2"))</f>
        <v>Caso 1</v>
      </c>
      <c r="D36" s="41"/>
      <c r="E36" s="87" t="str">
        <f>IF(C32="Suelo Fino","-",IF(SUM(ANALISIS_GRANULOMETRICO!E22:E23)&lt;5,"Menos del 5% pasa la Malla # 200",IF(SUM(ANALISIS_GRANULOMETRICO!E22:E23)&gt;12,"Más del 12% pasa la Malla # 200","Entre el 5 y el 12 % pasa la Malla # 200")))</f>
        <v>Menos del 5% pasa la Malla # 200</v>
      </c>
      <c r="F36" s="41"/>
      <c r="G36" s="57"/>
    </row>
    <row r="37" spans="1:7" x14ac:dyDescent="0.2">
      <c r="A37" s="83"/>
      <c r="B37" s="41"/>
      <c r="C37" s="41"/>
      <c r="D37" s="41"/>
      <c r="E37" s="41"/>
      <c r="F37" s="41"/>
      <c r="G37" s="57"/>
    </row>
    <row r="38" spans="1:7" ht="15.75" x14ac:dyDescent="0.25">
      <c r="A38" s="156" t="s">
        <v>58</v>
      </c>
      <c r="B38" s="157"/>
      <c r="C38" s="29" t="str">
        <f>IF(C32="Suelo Fino","-",IF(AND(C34="Grava",G28&gt;4,G29&gt;=1,G29&lt;=3),"Buena",IF(AND(C34="Arena",G28&gt;6,G29&gt;=1,G29&lt;=3),"Buena","Mala")))</f>
        <v>Mala</v>
      </c>
      <c r="D38" s="41"/>
      <c r="E38" s="41"/>
      <c r="F38" s="41"/>
      <c r="G38" s="57"/>
    </row>
    <row r="39" spans="1:7" x14ac:dyDescent="0.2">
      <c r="A39" s="83"/>
      <c r="B39" s="41"/>
      <c r="C39" s="41"/>
      <c r="D39" s="41"/>
      <c r="E39" s="41"/>
      <c r="F39" s="41"/>
      <c r="G39" s="57"/>
    </row>
    <row r="40" spans="1:7" ht="15.75" x14ac:dyDescent="0.25">
      <c r="A40" s="156" t="s">
        <v>15</v>
      </c>
      <c r="B40" s="157"/>
      <c r="C40" s="88" t="str">
        <f>IF(C32="Suelo Fino","-",IF(C36="Caso 3",LIMITES_ATTERBERG!B29,"-"))</f>
        <v>-</v>
      </c>
      <c r="D40" s="41"/>
      <c r="E40" s="87" t="str">
        <f>IF(C32="Suelo Fino","-",IF(C36="Caso 3","Realice los Cálculos de Indice de Plasticidad","No requiere confirmar Indice de Plasticidad"))</f>
        <v>No requiere confirmar Indice de Plasticidad</v>
      </c>
      <c r="F40" s="41"/>
      <c r="G40" s="57"/>
    </row>
    <row r="41" spans="1:7" ht="13.5" thickBot="1" x14ac:dyDescent="0.25">
      <c r="A41" s="83"/>
      <c r="B41" s="41"/>
      <c r="C41" s="86" t="str">
        <f>IF(AND(C36="Caso 1",C38="Buena"),"W",IF(AND(C36="Caso 1",C38="Mala"),"P",IF(C36="Caso 2","Caso de Frontera",IF(AND(C36="Caso 3",C40&lt;4),"M",IF(AND(C36="Caso 3",C40&gt;7),"C","M-C")))))</f>
        <v>P</v>
      </c>
      <c r="D41" s="41"/>
      <c r="E41" s="41"/>
      <c r="F41" s="41"/>
      <c r="G41" s="57"/>
    </row>
    <row r="42" spans="1:7" ht="15.75" x14ac:dyDescent="0.25">
      <c r="A42" s="89" t="s">
        <v>61</v>
      </c>
      <c r="B42" s="90"/>
      <c r="C42" s="91" t="str">
        <f>IF(C32="Suelo Fino","-",IF(C41="Caso de Frontera",C41,IF(C41="M-C",D34&amp;"M-"&amp;D34&amp;"C",D34&amp;C41)))</f>
        <v>GP</v>
      </c>
      <c r="D42" s="53"/>
      <c r="E42" s="53"/>
      <c r="F42" s="53"/>
      <c r="G42" s="54"/>
    </row>
    <row r="43" spans="1:7" ht="13.5" customHeight="1" x14ac:dyDescent="0.2">
      <c r="A43" s="92"/>
      <c r="B43" s="93"/>
      <c r="C43" s="152" t="str">
        <f>IF(C32="Suelo Fino","-",VLOOKUP(C42,GRUESOS,2))</f>
        <v>Gravas mal graduadas, mezclas de grava y arena con pocos finos o sin ellos</v>
      </c>
      <c r="D43" s="152"/>
      <c r="E43" s="152"/>
      <c r="F43" s="152"/>
      <c r="G43" s="153"/>
    </row>
    <row r="44" spans="1:7" ht="18.75" customHeight="1" thickBot="1" x14ac:dyDescent="0.25">
      <c r="A44" s="94"/>
      <c r="B44" s="95"/>
      <c r="C44" s="154"/>
      <c r="D44" s="154"/>
      <c r="E44" s="154"/>
      <c r="F44" s="154"/>
      <c r="G44" s="155"/>
    </row>
    <row r="45" spans="1:7" ht="14.25" x14ac:dyDescent="0.2">
      <c r="A45" s="4"/>
      <c r="D45" s="5"/>
      <c r="E45" s="4"/>
      <c r="F45" s="5"/>
    </row>
    <row r="65531" spans="253:253" x14ac:dyDescent="0.2">
      <c r="IS65531" s="31" t="s">
        <v>126</v>
      </c>
    </row>
    <row r="65532" spans="253:253" x14ac:dyDescent="0.2">
      <c r="IS65532" t="s">
        <v>120</v>
      </c>
    </row>
    <row r="65533" spans="253:253" x14ac:dyDescent="0.2">
      <c r="IS65533" t="s">
        <v>121</v>
      </c>
    </row>
    <row r="65534" spans="253:253" x14ac:dyDescent="0.2">
      <c r="IS65534" t="s">
        <v>122</v>
      </c>
    </row>
    <row r="65535" spans="253:253" x14ac:dyDescent="0.2">
      <c r="IS65535" t="s">
        <v>123</v>
      </c>
    </row>
    <row r="65536" spans="253:253" x14ac:dyDescent="0.2">
      <c r="IS65536" t="s">
        <v>124</v>
      </c>
    </row>
  </sheetData>
  <mergeCells count="8">
    <mergeCell ref="C43:G44"/>
    <mergeCell ref="A38:B38"/>
    <mergeCell ref="A40:B40"/>
    <mergeCell ref="A1:G1"/>
    <mergeCell ref="A32:B32"/>
    <mergeCell ref="A34:B34"/>
    <mergeCell ref="A36:B36"/>
    <mergeCell ref="D2:E2"/>
  </mergeCells>
  <phoneticPr fontId="10" type="noConversion"/>
  <conditionalFormatting sqref="C33">
    <cfRule type="cellIs" dxfId="5" priority="1" stopIfTrue="1" operator="equal">
      <formula>"Debe calcular los Límites de Atterberg para Clasificar este Suelo"</formula>
    </cfRule>
  </conditionalFormatting>
  <conditionalFormatting sqref="E32 E34 E36 C34 C42:C43 C38">
    <cfRule type="cellIs" dxfId="4" priority="2" stopIfTrue="1" operator="equal">
      <formula>"-"</formula>
    </cfRule>
  </conditionalFormatting>
  <conditionalFormatting sqref="E40">
    <cfRule type="cellIs" dxfId="3" priority="3" stopIfTrue="1" operator="equal">
      <formula>"Realice los Cálculos de Indice de Plasticidad"</formula>
    </cfRule>
    <cfRule type="cellIs" dxfId="2" priority="4" stopIfTrue="1" operator="equal">
      <formula>"-"</formula>
    </cfRule>
  </conditionalFormatting>
  <conditionalFormatting sqref="C40">
    <cfRule type="cellIs" dxfId="1" priority="5" stopIfTrue="1" operator="notEqual">
      <formula>"-"</formula>
    </cfRule>
    <cfRule type="cellIs" dxfId="0" priority="6" stopIfTrue="1" operator="equal">
      <formula>"-"</formula>
    </cfRule>
  </conditionalFormatting>
  <printOptions horizontalCentered="1" verticalCentered="1"/>
  <pageMargins left="0.59055118110236227" right="0.39370078740157483" top="0.98425196850393704" bottom="0.98425196850393704" header="0.51181102362204722" footer="0.51181102362204722"/>
  <pageSetup orientation="portrait" horizontalDpi="300" verticalDpi="300" r:id="rId1"/>
  <headerFooter alignWithMargins="0">
    <oddFooter>&amp;C&amp;"Arial,Negrita"FLY&amp;"Arial,Normal"
fabianyory@gmail.com</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IS65536"/>
  <sheetViews>
    <sheetView topLeftCell="A22" zoomScale="110" zoomScaleNormal="110" workbookViewId="0">
      <selection activeCell="B34" sqref="B34:E35"/>
    </sheetView>
  </sheetViews>
  <sheetFormatPr baseColWidth="10" defaultRowHeight="12.75" x14ac:dyDescent="0.2"/>
  <cols>
    <col min="1" max="1" width="23" customWidth="1"/>
    <col min="2" max="5" width="18.5703125" customWidth="1"/>
  </cols>
  <sheetData>
    <row r="1" spans="1:252" ht="21" thickBot="1" x14ac:dyDescent="0.35">
      <c r="A1" s="148" t="s">
        <v>0</v>
      </c>
      <c r="B1" s="149"/>
      <c r="C1" s="149"/>
      <c r="D1" s="149"/>
      <c r="E1" s="150"/>
      <c r="IK1" s="144" t="s">
        <v>28</v>
      </c>
      <c r="IL1" s="145" t="s">
        <v>106</v>
      </c>
      <c r="IM1" s="146"/>
      <c r="IN1" s="146"/>
      <c r="IO1" s="146"/>
      <c r="IP1" s="146"/>
      <c r="IQ1" s="146"/>
      <c r="IR1" s="147"/>
    </row>
    <row r="2" spans="1:252" ht="13.5" thickBot="1" x14ac:dyDescent="0.25">
      <c r="A2" s="32" t="s">
        <v>94</v>
      </c>
      <c r="B2" s="33"/>
      <c r="C2" s="34" t="s">
        <v>95</v>
      </c>
      <c r="D2" s="33"/>
      <c r="E2" s="33"/>
      <c r="IK2" s="144" t="s">
        <v>22</v>
      </c>
      <c r="IL2" s="145" t="s">
        <v>107</v>
      </c>
      <c r="IM2" s="146"/>
      <c r="IN2" s="146"/>
      <c r="IO2" s="146"/>
      <c r="IP2" s="146"/>
      <c r="IQ2" s="146"/>
      <c r="IR2" s="147"/>
    </row>
    <row r="3" spans="1:252" ht="15" thickBot="1" x14ac:dyDescent="0.25">
      <c r="A3" s="96"/>
      <c r="B3" s="33"/>
      <c r="C3" s="33"/>
      <c r="D3" s="33"/>
      <c r="E3" s="33"/>
      <c r="IK3" s="144" t="s">
        <v>26</v>
      </c>
      <c r="IL3" s="145" t="s">
        <v>108</v>
      </c>
      <c r="IM3" s="146"/>
      <c r="IN3" s="146"/>
      <c r="IO3" s="146"/>
      <c r="IP3" s="146"/>
      <c r="IQ3" s="146" t="s">
        <v>53</v>
      </c>
      <c r="IR3" s="147"/>
    </row>
    <row r="4" spans="1:252" ht="15.75" thickBot="1" x14ac:dyDescent="0.3">
      <c r="A4" s="97" t="s">
        <v>62</v>
      </c>
      <c r="B4" s="33"/>
      <c r="C4" s="33"/>
      <c r="D4" s="33"/>
      <c r="E4" s="98"/>
      <c r="IK4" s="144" t="s">
        <v>20</v>
      </c>
      <c r="IL4" s="145" t="s">
        <v>109</v>
      </c>
      <c r="IM4" s="146"/>
      <c r="IN4" s="146"/>
      <c r="IO4" s="146"/>
      <c r="IP4" s="146"/>
      <c r="IQ4" s="146" t="s">
        <v>54</v>
      </c>
      <c r="IR4" s="147"/>
    </row>
    <row r="5" spans="1:252" ht="18" customHeight="1" thickBot="1" x14ac:dyDescent="0.25">
      <c r="A5" s="99" t="s">
        <v>1</v>
      </c>
      <c r="B5" s="23" t="s">
        <v>19</v>
      </c>
      <c r="C5" s="23" t="s">
        <v>17</v>
      </c>
      <c r="D5" s="23" t="s">
        <v>127</v>
      </c>
      <c r="E5" s="100"/>
      <c r="IK5" s="144" t="s">
        <v>30</v>
      </c>
      <c r="IL5" s="145" t="s">
        <v>110</v>
      </c>
      <c r="IM5" s="146"/>
      <c r="IN5" s="146"/>
      <c r="IO5" s="146"/>
      <c r="IP5" s="146"/>
      <c r="IQ5" s="146"/>
      <c r="IR5" s="147"/>
    </row>
    <row r="6" spans="1:252" ht="15" customHeight="1" thickBot="1" x14ac:dyDescent="0.25">
      <c r="A6" s="101" t="s">
        <v>2</v>
      </c>
      <c r="B6" s="24">
        <v>23.2</v>
      </c>
      <c r="C6" s="24">
        <v>25.4</v>
      </c>
      <c r="D6" s="28">
        <v>21.3</v>
      </c>
      <c r="E6" s="102"/>
      <c r="IK6" s="144" t="s">
        <v>24</v>
      </c>
      <c r="IL6" s="145" t="s">
        <v>111</v>
      </c>
      <c r="IM6" s="146"/>
      <c r="IN6" s="146"/>
      <c r="IO6" s="146"/>
      <c r="IP6" s="146"/>
      <c r="IQ6" s="146"/>
      <c r="IR6" s="147"/>
    </row>
    <row r="7" spans="1:252" ht="15" customHeight="1" thickBot="1" x14ac:dyDescent="0.25">
      <c r="A7" s="103" t="s">
        <v>3</v>
      </c>
      <c r="B7" s="25">
        <v>20.7</v>
      </c>
      <c r="C7" s="25">
        <v>22.47</v>
      </c>
      <c r="D7" s="25">
        <v>18.649999999999999</v>
      </c>
      <c r="E7" s="102"/>
      <c r="IK7" s="144" t="s">
        <v>32</v>
      </c>
      <c r="IL7" s="145" t="s">
        <v>33</v>
      </c>
      <c r="IM7" s="146"/>
      <c r="IN7" s="146"/>
      <c r="IO7" s="146"/>
      <c r="IP7" s="146"/>
      <c r="IQ7" s="146"/>
      <c r="IR7" s="147"/>
    </row>
    <row r="8" spans="1:252" ht="15" customHeight="1" x14ac:dyDescent="0.2">
      <c r="A8" s="103" t="s">
        <v>4</v>
      </c>
      <c r="B8" s="25">
        <v>7</v>
      </c>
      <c r="C8" s="25">
        <v>8.4</v>
      </c>
      <c r="D8" s="25">
        <v>8.83</v>
      </c>
      <c r="E8" s="102"/>
    </row>
    <row r="9" spans="1:252" ht="15" customHeight="1" x14ac:dyDescent="0.2">
      <c r="A9" s="103" t="s">
        <v>5</v>
      </c>
      <c r="B9" s="104">
        <f>IF(OR(B7="",B8="",B12=""),"-",B7-B8)</f>
        <v>13.7</v>
      </c>
      <c r="C9" s="104">
        <f>IF(OR(C7="",C8="",C12=""),"-",C7-C8)</f>
        <v>14.069999999999999</v>
      </c>
      <c r="D9" s="104">
        <f>IF(OR(D7="",D8="",D12=""),"-",D7-D8)</f>
        <v>9.8199999999999985</v>
      </c>
      <c r="E9" s="102"/>
    </row>
    <row r="10" spans="1:252" ht="15" customHeight="1" x14ac:dyDescent="0.2">
      <c r="A10" s="103" t="s">
        <v>6</v>
      </c>
      <c r="B10" s="104">
        <f>IF(OR(B6="",B8="",B12=""),"-",B6-B8)</f>
        <v>16.2</v>
      </c>
      <c r="C10" s="104">
        <f>IF(OR(C6="",C8="",C12=""),"-",C6-C8)</f>
        <v>17</v>
      </c>
      <c r="D10" s="104">
        <f>IF(OR(D6="",D8="",D12=""),"-",D6-D8)</f>
        <v>12.47</v>
      </c>
      <c r="E10" s="102"/>
      <c r="IK10" t="s">
        <v>91</v>
      </c>
      <c r="IL10" t="s">
        <v>92</v>
      </c>
    </row>
    <row r="11" spans="1:252" ht="15" customHeight="1" x14ac:dyDescent="0.2">
      <c r="A11" s="103" t="s">
        <v>7</v>
      </c>
      <c r="B11" s="104">
        <f>IF(OR(B10="-",B9="-",B12=""),"-",((B10-B9)/B9)*100)</f>
        <v>18.248175182481752</v>
      </c>
      <c r="C11" s="104">
        <f>IF(OR(C10="-",C9="-",C12=""),"-",((C10-C9)/C9)*100)</f>
        <v>20.824449182658149</v>
      </c>
      <c r="D11" s="104">
        <f>IF(OR(D10="-",D9="-",D12=""),"-",((D10-D9)/D9)*100)</f>
        <v>26.985743380855421</v>
      </c>
      <c r="E11" s="105"/>
      <c r="IK11">
        <v>0</v>
      </c>
      <c r="IL11">
        <v>0</v>
      </c>
    </row>
    <row r="12" spans="1:252" ht="15" customHeight="1" thickBot="1" x14ac:dyDescent="0.25">
      <c r="A12" s="106" t="s">
        <v>8</v>
      </c>
      <c r="B12" s="26">
        <v>10</v>
      </c>
      <c r="C12" s="26">
        <v>11</v>
      </c>
      <c r="D12" s="26">
        <v>12</v>
      </c>
      <c r="E12" s="107"/>
      <c r="IK12">
        <v>10</v>
      </c>
      <c r="IL12">
        <v>10</v>
      </c>
    </row>
    <row r="13" spans="1:252" x14ac:dyDescent="0.2">
      <c r="A13" s="33"/>
      <c r="B13" s="33"/>
      <c r="C13" s="33"/>
      <c r="D13" s="33"/>
      <c r="E13" s="108"/>
      <c r="IK13">
        <v>20</v>
      </c>
      <c r="IL13">
        <v>20</v>
      </c>
    </row>
    <row r="14" spans="1:252" x14ac:dyDescent="0.2">
      <c r="A14" s="33"/>
      <c r="B14" s="33"/>
      <c r="C14" s="33"/>
      <c r="D14" s="109"/>
      <c r="E14" s="109"/>
      <c r="F14" s="1"/>
      <c r="IK14">
        <v>30</v>
      </c>
      <c r="IL14">
        <v>30</v>
      </c>
    </row>
    <row r="15" spans="1:252" ht="15.75" thickBot="1" x14ac:dyDescent="0.3">
      <c r="A15" s="97" t="s">
        <v>63</v>
      </c>
      <c r="B15" s="33"/>
      <c r="C15" s="33"/>
      <c r="D15" s="97" t="s">
        <v>64</v>
      </c>
      <c r="E15" s="109"/>
      <c r="F15" s="1"/>
      <c r="IK15">
        <v>40</v>
      </c>
      <c r="IL15">
        <v>40</v>
      </c>
    </row>
    <row r="16" spans="1:252" ht="13.5" thickBot="1" x14ac:dyDescent="0.25">
      <c r="A16" s="99" t="s">
        <v>1</v>
      </c>
      <c r="B16" s="23" t="s">
        <v>128</v>
      </c>
      <c r="C16" s="23" t="s">
        <v>129</v>
      </c>
      <c r="D16" s="23" t="s">
        <v>130</v>
      </c>
      <c r="E16" s="23" t="s">
        <v>131</v>
      </c>
      <c r="IK16">
        <v>50</v>
      </c>
      <c r="IL16">
        <v>50</v>
      </c>
    </row>
    <row r="17" spans="1:246" x14ac:dyDescent="0.2">
      <c r="A17" s="101" t="s">
        <v>2</v>
      </c>
      <c r="B17" s="24">
        <v>31.25</v>
      </c>
      <c r="C17" s="24"/>
      <c r="D17" s="24"/>
      <c r="E17" s="24"/>
      <c r="IK17">
        <v>60</v>
      </c>
      <c r="IL17">
        <v>60</v>
      </c>
    </row>
    <row r="18" spans="1:246" x14ac:dyDescent="0.2">
      <c r="A18" s="103" t="s">
        <v>3</v>
      </c>
      <c r="B18" s="25">
        <v>28.47</v>
      </c>
      <c r="C18" s="25"/>
      <c r="D18" s="25"/>
      <c r="E18" s="25"/>
      <c r="IK18">
        <v>70</v>
      </c>
      <c r="IL18">
        <v>70</v>
      </c>
    </row>
    <row r="19" spans="1:246" x14ac:dyDescent="0.2">
      <c r="A19" s="103" t="s">
        <v>4</v>
      </c>
      <c r="B19" s="25">
        <v>8.32</v>
      </c>
      <c r="C19" s="25"/>
      <c r="D19" s="25"/>
      <c r="E19" s="25"/>
      <c r="IK19">
        <v>80</v>
      </c>
      <c r="IL19">
        <v>80</v>
      </c>
    </row>
    <row r="20" spans="1:246" x14ac:dyDescent="0.2">
      <c r="A20" s="103" t="s">
        <v>5</v>
      </c>
      <c r="B20" s="104">
        <f>IF(OR(B18="",B19=""),"-",B18-B19)</f>
        <v>20.149999999999999</v>
      </c>
      <c r="C20" s="104" t="str">
        <f>IF(OR(C18="",C19=""),"-",C18-C19)</f>
        <v>-</v>
      </c>
      <c r="D20" s="104" t="str">
        <f>IF(OR(D18="",D19=""),"-",D18-D19)</f>
        <v>-</v>
      </c>
      <c r="E20" s="104" t="str">
        <f>IF(OR(E18="",E19=""),"-",E18-E19)</f>
        <v>-</v>
      </c>
      <c r="IK20">
        <v>90</v>
      </c>
      <c r="IL20">
        <v>90</v>
      </c>
    </row>
    <row r="21" spans="1:246" x14ac:dyDescent="0.2">
      <c r="A21" s="103" t="s">
        <v>6</v>
      </c>
      <c r="B21" s="104">
        <f>IF(OR(B17="",B19=""),"-",B17-B19)</f>
        <v>22.93</v>
      </c>
      <c r="C21" s="104" t="str">
        <f>IF(OR(C17="",C19=""),"-",C17-C19)</f>
        <v>-</v>
      </c>
      <c r="D21" s="104" t="str">
        <f>IF(OR(D17="",D19=""),"-",D17-D19)</f>
        <v>-</v>
      </c>
      <c r="E21" s="104" t="str">
        <f>IF(OR(E17="",E19=""),"-",E17-E19)</f>
        <v>-</v>
      </c>
      <c r="IK21">
        <v>100</v>
      </c>
      <c r="IL21">
        <v>100</v>
      </c>
    </row>
    <row r="22" spans="1:246" ht="13.5" thickBot="1" x14ac:dyDescent="0.25">
      <c r="A22" s="106" t="s">
        <v>7</v>
      </c>
      <c r="B22" s="110">
        <f>IF(OR(B21="-",B20="-"),"-",((B21-B20)/B20)*100)</f>
        <v>13.796526054590577</v>
      </c>
      <c r="C22" s="110" t="str">
        <f>IF(OR(C21="-",C20="-"),"-",((C21-C20)/C20)*100)</f>
        <v>-</v>
      </c>
      <c r="D22" s="110" t="str">
        <f>IF(OR(D21="-",D20="-"),"-",((D21-D20)/D20)*100)</f>
        <v>-</v>
      </c>
      <c r="E22" s="110" t="str">
        <f>IF(OR(E21="-",E20="-"),"-",((E21-E20)/E20)*100)</f>
        <v>-</v>
      </c>
    </row>
    <row r="23" spans="1:246" x14ac:dyDescent="0.2">
      <c r="A23" s="36"/>
      <c r="B23" s="36"/>
      <c r="C23" s="36"/>
      <c r="D23" s="36"/>
      <c r="E23" s="36"/>
    </row>
    <row r="24" spans="1:246" x14ac:dyDescent="0.2">
      <c r="A24" s="111" t="s">
        <v>125</v>
      </c>
      <c r="B24" s="27" t="s">
        <v>54</v>
      </c>
      <c r="C24" s="36"/>
      <c r="D24" s="36"/>
      <c r="E24" s="36"/>
    </row>
    <row r="25" spans="1:246" x14ac:dyDescent="0.2">
      <c r="A25" s="36"/>
      <c r="B25" s="36"/>
      <c r="C25" s="36"/>
      <c r="D25" s="112" t="s">
        <v>9</v>
      </c>
      <c r="E25" s="112">
        <f>SUM(B12:D12)</f>
        <v>33</v>
      </c>
    </row>
    <row r="26" spans="1:246" ht="24.95" customHeight="1" x14ac:dyDescent="0.2">
      <c r="A26" s="113" t="s">
        <v>93</v>
      </c>
      <c r="B26" s="114" t="str">
        <f>IF(AND(D22="-",E22="-"),"-",AVERAGE(D22:E22))</f>
        <v>-</v>
      </c>
      <c r="C26" s="36"/>
      <c r="D26" s="112" t="s">
        <v>10</v>
      </c>
      <c r="E26" s="115">
        <f>SUM(B11:D11)</f>
        <v>66.058367745995326</v>
      </c>
    </row>
    <row r="27" spans="1:246" ht="24.95" customHeight="1" x14ac:dyDescent="0.2">
      <c r="A27" s="113" t="s">
        <v>11</v>
      </c>
      <c r="B27" s="114">
        <f>IF(OR(B6="",C6="",D6="",B7="",C7="",D7="",B8="",C8="",D8="",B12="",C12="",D12="",B24=""),"-",((E33)+(E32*25)))</f>
        <v>22.016678515314133</v>
      </c>
      <c r="C27" s="36"/>
      <c r="D27" s="112" t="s">
        <v>12</v>
      </c>
      <c r="E27" s="112">
        <f>((B12*B11)+(C12*C11)+(D12*D11))</f>
        <v>735.37961340432219</v>
      </c>
    </row>
    <row r="28" spans="1:246" ht="24.95" customHeight="1" x14ac:dyDescent="0.2">
      <c r="A28" s="113" t="s">
        <v>13</v>
      </c>
      <c r="B28" s="114">
        <f>IF(AND(B22="-",C22="-"),"-",AVERAGE(B22:C22))</f>
        <v>13.796526054590577</v>
      </c>
      <c r="C28" s="36"/>
      <c r="D28" s="112" t="s">
        <v>14</v>
      </c>
      <c r="E28" s="112">
        <f>((B12^2)+(C12^2)+(D12^2))</f>
        <v>365</v>
      </c>
    </row>
    <row r="29" spans="1:246" ht="24.95" customHeight="1" x14ac:dyDescent="0.2">
      <c r="A29" s="113" t="s">
        <v>15</v>
      </c>
      <c r="B29" s="114">
        <f>IF(OR(B27="-",B28="-"),"-",B27-B28)</f>
        <v>8.2201524607235559</v>
      </c>
      <c r="C29" s="36"/>
      <c r="D29" s="112" t="s">
        <v>16</v>
      </c>
      <c r="E29" s="112">
        <f>E28^2</f>
        <v>133225</v>
      </c>
    </row>
    <row r="30" spans="1:246" ht="24.95" customHeight="1" x14ac:dyDescent="0.2">
      <c r="A30" s="113"/>
      <c r="B30" s="114"/>
      <c r="C30" s="36"/>
      <c r="D30" s="112"/>
      <c r="E30" s="112"/>
    </row>
    <row r="31" spans="1:246" ht="24.95" customHeight="1" x14ac:dyDescent="0.2">
      <c r="A31" s="113"/>
      <c r="B31" s="114"/>
      <c r="C31" s="36"/>
      <c r="D31" s="112"/>
      <c r="E31" s="112"/>
    </row>
    <row r="32" spans="1:246" ht="13.5" thickBot="1" x14ac:dyDescent="0.25">
      <c r="A32" s="36"/>
      <c r="B32" s="36"/>
      <c r="C32" s="36"/>
      <c r="D32" s="112" t="s">
        <v>17</v>
      </c>
      <c r="E32" s="112">
        <f>((3*E27)-(E25*E26))/((3*E28)-(E29))</f>
        <v>-1.9838571554620912E-4</v>
      </c>
    </row>
    <row r="33" spans="1:5" ht="15.75" x14ac:dyDescent="0.25">
      <c r="A33" s="116" t="s">
        <v>18</v>
      </c>
      <c r="B33" s="117" t="str">
        <f>IF(OR(B27="-",B29="-"),"-",IF(B27&gt;100,"Pt",IF(B27&gt;50,IF(((22-B29)/(50-B27))&gt;0.73,"CH",IF(B24="SI","OH","MH")),IF(((22-B29)/(50-B27))&gt;0.73,IF(B24="SI","OL","ML"),IF(B29&gt;7,"CL",IF(B29&gt;4,"CL-ML","ML"))))))</f>
        <v>CL</v>
      </c>
      <c r="C33" s="53"/>
      <c r="D33" s="118" t="s">
        <v>19</v>
      </c>
      <c r="E33" s="119">
        <f>((E26)-(E32*E25))/3</f>
        <v>22.021638158202787</v>
      </c>
    </row>
    <row r="34" spans="1:5" x14ac:dyDescent="0.2">
      <c r="A34" s="92"/>
      <c r="B34" s="152" t="str">
        <f>IF(B33="-","-",VLOOKUP(B33,FINOS,2))</f>
        <v>Arcillas inorgánicas de plasticidad baja a media, arcillas con grava, arcillas arenosas, arcillas limosas, y arcillas magras</v>
      </c>
      <c r="C34" s="152"/>
      <c r="D34" s="152"/>
      <c r="E34" s="153"/>
    </row>
    <row r="35" spans="1:5" ht="18" customHeight="1" thickBot="1" x14ac:dyDescent="0.25">
      <c r="A35" s="120"/>
      <c r="B35" s="154"/>
      <c r="C35" s="154"/>
      <c r="D35" s="154"/>
      <c r="E35" s="155"/>
    </row>
    <row r="47" spans="1:5" x14ac:dyDescent="0.2">
      <c r="A47" s="7" t="s">
        <v>20</v>
      </c>
      <c r="B47" s="7" t="s">
        <v>21</v>
      </c>
    </row>
    <row r="48" spans="1:5" x14ac:dyDescent="0.2">
      <c r="A48" s="7" t="s">
        <v>22</v>
      </c>
      <c r="B48" s="7" t="s">
        <v>23</v>
      </c>
    </row>
    <row r="49" spans="1:2" x14ac:dyDescent="0.2">
      <c r="A49" s="7" t="s">
        <v>24</v>
      </c>
      <c r="B49" s="7" t="s">
        <v>25</v>
      </c>
    </row>
    <row r="50" spans="1:2" x14ac:dyDescent="0.2">
      <c r="A50" s="7" t="s">
        <v>26</v>
      </c>
      <c r="B50" s="7" t="s">
        <v>27</v>
      </c>
    </row>
    <row r="51" spans="1:2" x14ac:dyDescent="0.2">
      <c r="A51" s="7" t="s">
        <v>28</v>
      </c>
      <c r="B51" s="7" t="s">
        <v>29</v>
      </c>
    </row>
    <row r="52" spans="1:2" x14ac:dyDescent="0.2">
      <c r="A52" s="7" t="s">
        <v>30</v>
      </c>
      <c r="B52" s="7" t="s">
        <v>31</v>
      </c>
    </row>
    <row r="53" spans="1:2" x14ac:dyDescent="0.2">
      <c r="A53" s="7" t="s">
        <v>32</v>
      </c>
      <c r="B53" s="7" t="s">
        <v>33</v>
      </c>
    </row>
    <row r="65531" spans="253:253" x14ac:dyDescent="0.2">
      <c r="IS65531" s="31" t="s">
        <v>126</v>
      </c>
    </row>
    <row r="65532" spans="253:253" x14ac:dyDescent="0.2">
      <c r="IS65532" t="s">
        <v>120</v>
      </c>
    </row>
    <row r="65533" spans="253:253" x14ac:dyDescent="0.2">
      <c r="IS65533" t="s">
        <v>121</v>
      </c>
    </row>
    <row r="65534" spans="253:253" x14ac:dyDescent="0.2">
      <c r="IS65534" t="s">
        <v>122</v>
      </c>
    </row>
    <row r="65535" spans="253:253" x14ac:dyDescent="0.2">
      <c r="IS65535" t="s">
        <v>123</v>
      </c>
    </row>
    <row r="65536" spans="253:253" x14ac:dyDescent="0.2">
      <c r="IS65536" t="s">
        <v>124</v>
      </c>
    </row>
  </sheetData>
  <mergeCells count="2">
    <mergeCell ref="A1:E1"/>
    <mergeCell ref="B34:E35"/>
  </mergeCells>
  <phoneticPr fontId="10" type="noConversion"/>
  <dataValidations count="1">
    <dataValidation type="list" errorStyle="warning" allowBlank="1" showInputMessage="1" showErrorMessage="1" errorTitle="Precaución" error="Debe indicar si la Muestra es Orgánica o No" sqref="B24">
      <formula1>$IQ$3:$IQ$4</formula1>
    </dataValidation>
  </dataValidations>
  <printOptions horizontalCentered="1" verticalCentered="1"/>
  <pageMargins left="0.59055118110236227" right="0.39370078740157483" top="0.98425196850393704" bottom="0.78740157480314965" header="0.51181102362204722" footer="0.51181102362204722"/>
  <pageSetup orientation="portrait" horizontalDpi="300" verticalDpi="300" r:id="rId1"/>
  <headerFooter alignWithMargins="0">
    <oddFooter>&amp;C&amp;"Arial,Negrita"FLY&amp;"Arial,Normal"
fabianyory@gmail.com</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ANALISIS_GRANULOMETRICO</vt:lpstr>
      <vt:lpstr>DISTRIBUCION_GRANULOMETRICA</vt:lpstr>
      <vt:lpstr>LIMITES_ATTERBERG</vt:lpstr>
      <vt:lpstr>ANALISIS_GRANULOMETRICO!Área_de_impresión</vt:lpstr>
      <vt:lpstr>DISTRIBUCION_GRANULOMETRICA!Área_de_impresión</vt:lpstr>
      <vt:lpstr>LIMITES_ATTERBERG!Área_de_impresión</vt:lpstr>
      <vt:lpstr>FINOS</vt:lpstr>
      <vt:lpstr>GRUESOS</vt:lpstr>
      <vt:lpstr>mallas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Hoja de Cálculo de Apoyo</dc:title>
  <dc:subject>Mecánica de Suelos</dc:subject>
  <dc:creator>FABIAN LEONARDO YORY SANABRIA</dc:creator>
  <cp:lastModifiedBy>Fabian Yory</cp:lastModifiedBy>
  <cp:lastPrinted>2006-01-12T19:03:15Z</cp:lastPrinted>
  <dcterms:created xsi:type="dcterms:W3CDTF">2006-01-09T16:23:34Z</dcterms:created>
  <dcterms:modified xsi:type="dcterms:W3CDTF">2015-11-27T15:39:57Z</dcterms:modified>
</cp:coreProperties>
</file>